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 ?>
<Relationships xmlns="http://schemas.openxmlformats.org/package/2006/relationships">
<Relationship Id="rId3" Type="http://schemas.openxmlformats.org/officeDocument/2006/relationships/extended-properties" Target="docProps/app.xml" />
<Relationship Id="rId2" Type="http://schemas.openxmlformats.org/package/2006/relationships/metadata/core-properties" Target="docProps/core.xml" />
<Relationship Id="rId1" Type="http://schemas.openxmlformats.org/officeDocument/2006/relationships/officeDocument" Target="xl/workbook.xml" />
<Relationship Id="rId4" Type="http://schemas.openxmlformats.org/officeDocument/2006/relationships/custom-properties" Target="docProps/custom.xml" />
</Relationships>
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065" yWindow="-45" windowWidth="19290" windowHeight="12165" activeTab="1"/>
  </bookViews>
  <sheets>
    <sheet name="VV-Master" sheetId="2" r:id="rId1"/>
    <sheet name=" VV - Example" sheetId="12" r:id="rId2"/>
    <sheet name="AC-Master" sheetId="1" r:id="rId3"/>
    <sheet name="AC - Example" sheetId="11" r:id="rId4"/>
    <sheet name="PT-Master" sheetId="9" r:id="rId5"/>
    <sheet name="PT-Example " sheetId="10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ES_Effective_Date">'PT-Example '!$C$11</definedName>
    <definedName name="Adjustment_Factor_2007">'PT-Example '!$C$22</definedName>
    <definedName name="Adjustment_Factor_2008">'PT-Example '!$C$23</definedName>
    <definedName name="Adjustment_Factor_2009">'PT-Example '!$C$24</definedName>
    <definedName name="After_ACES_Loss_Carry_Forward_Cr_Rate">'PT-Example '!$C$8</definedName>
    <definedName name="After_ACES_Section_e__Tax_Rate">'PT-Example '!$C$10</definedName>
    <definedName name="Before_ACES_Loss_Carry_Forward_Cr_Rate">'PT-Example '!$C$7</definedName>
    <definedName name="Before_ACES_Section_e__Tax_Rate">'PT-Example '!$C$9</definedName>
    <definedName name="Capital_Exclusion_Cents_Per_BOE">'PT-Example '!$C$5</definedName>
    <definedName name="End_date_for_cap">'PT-Example '!$C$29</definedName>
    <definedName name="Max_Price_Index_Based_Rate_After_Aces">'PT-Example '!$C$20</definedName>
    <definedName name="Max_Price_Index_Based_Rate_Before_Aces">'PT-Example '!$C$19</definedName>
    <definedName name="Overhead_For_Capex">'PT-Example '!$C$4</definedName>
    <definedName name="Overhead_For_Opex">'PT-Example '!$C$3</definedName>
    <definedName name="Pal_Workbook_GUID" hidden="1">"5DQLG9UDPTE1RY7JLPNSGEWL"</definedName>
    <definedName name="PDMO">'PT-Example '!$I$7</definedName>
    <definedName name="_xlnm.Print_Area" localSheetId="1">' VV - Example'!$A$1:$K$72</definedName>
    <definedName name="_xlnm.Print_Area" localSheetId="3">'AC - Example'!$A$1:$H$91</definedName>
    <definedName name="_xlnm.Print_Area" localSheetId="5">'PT-Example '!$A$1:$L$100</definedName>
    <definedName name="_xlnm.Print_Area" localSheetId="4">'PT-Master'!$A$1:$H$97</definedName>
    <definedName name="Progressive_Increment__1_After_Aces">'PT-Example '!$C$16</definedName>
    <definedName name="Progressive_Increment__1_Before_Aces">'PT-Example '!$C$15</definedName>
    <definedName name="Progressive_Increment__2_After_Aces">'PT-Example '!$C$18</definedName>
    <definedName name="Qualified_Capex_Credit_Rate">'PT-Example '!$C$6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art_date_for_2nd_year_of_adjustment_2008">'PT-Example '!$C$27</definedName>
    <definedName name="Start_date_for_3nd_year_of_adjustment_2009">'PT-Example '!$C$28</definedName>
    <definedName name="Start_date_for_adjustment_2007">'PT-Example '!$C$26</definedName>
    <definedName name="Threshold__1_Price_After_Aces">'PT-Example '!$C$14</definedName>
    <definedName name="Threshold__1_Price_Before_Aces">'PT-Example '!$C$13</definedName>
    <definedName name="Threshold__2_Price_After_Aces">'PT-Example '!$C$17</definedName>
  </definedNames>
  <calcPr calcId="145621"/>
</workbook>
</file>

<file path=xl/calcChain.xml><?xml version="1.0" encoding="utf-8"?>
<calcChain xmlns="http://schemas.openxmlformats.org/spreadsheetml/2006/main">
  <c r="L84" i="10" l="1"/>
  <c r="L65" i="10"/>
  <c r="L62" i="10" l="1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J83" i="10"/>
  <c r="J67" i="10" s="1"/>
  <c r="C23" i="10"/>
  <c r="C24" i="10" s="1"/>
  <c r="I4" i="10"/>
  <c r="F4" i="9" s="1"/>
  <c r="I5" i="10"/>
  <c r="F5" i="9" s="1"/>
  <c r="I7" i="10"/>
  <c r="I8" i="10"/>
  <c r="F8" i="9" s="1"/>
  <c r="I9" i="10"/>
  <c r="F9" i="9" s="1"/>
  <c r="I10" i="10"/>
  <c r="F10" i="9" s="1"/>
  <c r="I11" i="10"/>
  <c r="I12" i="10"/>
  <c r="I19" i="10"/>
  <c r="F19" i="9" s="1"/>
  <c r="I21" i="10"/>
  <c r="I22" i="10"/>
  <c r="I23" i="10"/>
  <c r="F23" i="9" s="1"/>
  <c r="I24" i="10"/>
  <c r="F24" i="9" s="1"/>
  <c r="I25" i="10"/>
  <c r="I26" i="10"/>
  <c r="I27" i="10"/>
  <c r="F27" i="9" s="1"/>
  <c r="I28" i="10"/>
  <c r="F28" i="9" s="1"/>
  <c r="I29" i="10"/>
  <c r="F29" i="9" s="1"/>
  <c r="I30" i="10"/>
  <c r="I31" i="10"/>
  <c r="I32" i="10"/>
  <c r="F32" i="9" s="1"/>
  <c r="E35" i="10"/>
  <c r="L93" i="10"/>
  <c r="F71" i="2"/>
  <c r="G66" i="2"/>
  <c r="F63" i="2"/>
  <c r="F62" i="2"/>
  <c r="B59" i="2"/>
  <c r="C59" i="2"/>
  <c r="D59" i="2"/>
  <c r="H59" i="2"/>
  <c r="B60" i="2"/>
  <c r="C60" i="2"/>
  <c r="D60" i="2"/>
  <c r="H60" i="2"/>
  <c r="B61" i="2"/>
  <c r="C61" i="2"/>
  <c r="D61" i="2"/>
  <c r="E61" i="2"/>
  <c r="H61" i="2"/>
  <c r="B62" i="2"/>
  <c r="C62" i="2"/>
  <c r="D62" i="2"/>
  <c r="H62" i="2"/>
  <c r="B63" i="2"/>
  <c r="C63" i="2"/>
  <c r="D63" i="2"/>
  <c r="H63" i="2"/>
  <c r="B64" i="2"/>
  <c r="C64" i="2"/>
  <c r="D64" i="2"/>
  <c r="H64" i="2"/>
  <c r="B65" i="2"/>
  <c r="C65" i="2"/>
  <c r="D65" i="2"/>
  <c r="H65" i="2"/>
  <c r="B66" i="2"/>
  <c r="C66" i="2"/>
  <c r="D66" i="2"/>
  <c r="H66" i="2"/>
  <c r="B67" i="2"/>
  <c r="C67" i="2"/>
  <c r="D67" i="2"/>
  <c r="H67" i="2"/>
  <c r="B68" i="2"/>
  <c r="C68" i="2"/>
  <c r="D68" i="2"/>
  <c r="H68" i="2"/>
  <c r="B69" i="2"/>
  <c r="C69" i="2"/>
  <c r="D69" i="2"/>
  <c r="H69" i="2"/>
  <c r="B70" i="2"/>
  <c r="C70" i="2"/>
  <c r="D70" i="2"/>
  <c r="H70" i="2"/>
  <c r="B71" i="2"/>
  <c r="C71" i="2"/>
  <c r="D71" i="2"/>
  <c r="H71" i="2"/>
  <c r="B72" i="2"/>
  <c r="C72" i="2"/>
  <c r="D72" i="2"/>
  <c r="H72" i="2"/>
  <c r="F59" i="12"/>
  <c r="E59" i="2" s="1"/>
  <c r="F60" i="12"/>
  <c r="E60" i="2" s="1"/>
  <c r="E1" i="10"/>
  <c r="A1" i="9" s="1"/>
  <c r="A1" i="11"/>
  <c r="A1" i="1" s="1"/>
  <c r="A1" i="2"/>
  <c r="G50" i="2"/>
  <c r="F70" i="12"/>
  <c r="G71" i="12"/>
  <c r="G64" i="12"/>
  <c r="G65" i="12" s="1"/>
  <c r="F48" i="2"/>
  <c r="C73" i="9"/>
  <c r="D61" i="9"/>
  <c r="C61" i="9"/>
  <c r="B61" i="9"/>
  <c r="B51" i="9"/>
  <c r="C51" i="9"/>
  <c r="D51" i="9"/>
  <c r="B52" i="9"/>
  <c r="C52" i="9"/>
  <c r="D52" i="9"/>
  <c r="B64" i="9"/>
  <c r="C64" i="9"/>
  <c r="D64" i="9"/>
  <c r="L61" i="10"/>
  <c r="G61" i="9" s="1"/>
  <c r="B49" i="9"/>
  <c r="C49" i="9"/>
  <c r="D49" i="9"/>
  <c r="L49" i="10"/>
  <c r="F49" i="9"/>
  <c r="B36" i="9"/>
  <c r="C36" i="9"/>
  <c r="D36" i="9"/>
  <c r="L46" i="10"/>
  <c r="G46" i="9" s="1"/>
  <c r="L36" i="10"/>
  <c r="G36" i="9" s="1"/>
  <c r="D46" i="9"/>
  <c r="B46" i="9"/>
  <c r="C46" i="9"/>
  <c r="D73" i="9"/>
  <c r="B73" i="9"/>
  <c r="B35" i="2"/>
  <c r="C35" i="2"/>
  <c r="D35" i="2"/>
  <c r="H35" i="2"/>
  <c r="B36" i="2"/>
  <c r="C36" i="2"/>
  <c r="D36" i="2"/>
  <c r="H36" i="2"/>
  <c r="B37" i="2"/>
  <c r="C37" i="2"/>
  <c r="D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H47" i="2"/>
  <c r="B48" i="2"/>
  <c r="C48" i="2"/>
  <c r="D48" i="2"/>
  <c r="H48" i="2"/>
  <c r="B49" i="2"/>
  <c r="C49" i="2"/>
  <c r="D49" i="2"/>
  <c r="H49" i="2"/>
  <c r="B50" i="2"/>
  <c r="C50" i="2"/>
  <c r="D50" i="2"/>
  <c r="H50" i="2"/>
  <c r="B51" i="2"/>
  <c r="C51" i="2"/>
  <c r="D51" i="2"/>
  <c r="F51" i="2"/>
  <c r="H51" i="2"/>
  <c r="B52" i="2"/>
  <c r="C52" i="2"/>
  <c r="D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H56" i="2"/>
  <c r="B57" i="2"/>
  <c r="C57" i="2"/>
  <c r="D57" i="2"/>
  <c r="E57" i="2"/>
  <c r="H57" i="2"/>
  <c r="B58" i="2"/>
  <c r="C58" i="2"/>
  <c r="D58" i="2"/>
  <c r="H58" i="2"/>
  <c r="C34" i="2"/>
  <c r="D34" i="2"/>
  <c r="E34" i="2"/>
  <c r="H34" i="2"/>
  <c r="B34" i="2"/>
  <c r="A34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3" i="2"/>
  <c r="F4" i="2"/>
  <c r="F5" i="2"/>
  <c r="F6" i="2"/>
  <c r="F7" i="2"/>
  <c r="F8" i="2"/>
  <c r="F9" i="2"/>
  <c r="F10" i="2"/>
  <c r="F11" i="2"/>
  <c r="F12" i="2"/>
  <c r="F2" i="2"/>
  <c r="B43" i="1"/>
  <c r="C43" i="1"/>
  <c r="D43" i="1"/>
  <c r="B44" i="1"/>
  <c r="C44" i="1"/>
  <c r="D44" i="1"/>
  <c r="F44" i="1"/>
  <c r="B45" i="1"/>
  <c r="C45" i="1"/>
  <c r="D45" i="1"/>
  <c r="F45" i="1"/>
  <c r="B46" i="1"/>
  <c r="C46" i="1"/>
  <c r="D46" i="1"/>
  <c r="F46" i="1"/>
  <c r="B47" i="1"/>
  <c r="C47" i="1"/>
  <c r="D47" i="1"/>
  <c r="F47" i="1"/>
  <c r="B48" i="1"/>
  <c r="C48" i="1"/>
  <c r="D48" i="1"/>
  <c r="F48" i="1"/>
  <c r="B49" i="1"/>
  <c r="C49" i="1"/>
  <c r="B50" i="1"/>
  <c r="C50" i="1"/>
  <c r="D50" i="1"/>
  <c r="F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E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E61" i="1"/>
  <c r="B62" i="1"/>
  <c r="C62" i="1"/>
  <c r="D62" i="1"/>
  <c r="B63" i="1"/>
  <c r="C63" i="1"/>
  <c r="D63" i="1"/>
  <c r="F63" i="1"/>
  <c r="B64" i="1"/>
  <c r="C64" i="1"/>
  <c r="D64" i="1"/>
  <c r="B65" i="1"/>
  <c r="C65" i="1"/>
  <c r="D65" i="1"/>
  <c r="F65" i="1"/>
  <c r="B66" i="1"/>
  <c r="C66" i="1"/>
  <c r="D66" i="1"/>
  <c r="F66" i="1"/>
  <c r="B67" i="1"/>
  <c r="C67" i="1"/>
  <c r="D67" i="1"/>
  <c r="F67" i="1"/>
  <c r="B68" i="1"/>
  <c r="C68" i="1"/>
  <c r="D68" i="1"/>
  <c r="F68" i="1"/>
  <c r="B69" i="1"/>
  <c r="C69" i="1"/>
  <c r="D69" i="1"/>
  <c r="F69" i="1"/>
  <c r="B70" i="1"/>
  <c r="C70" i="1"/>
  <c r="D70" i="1"/>
  <c r="B71" i="1"/>
  <c r="C71" i="1"/>
  <c r="D71" i="1"/>
  <c r="E71" i="1"/>
  <c r="B72" i="1"/>
  <c r="C72" i="1"/>
  <c r="D72" i="1"/>
  <c r="B73" i="1"/>
  <c r="C73" i="1"/>
  <c r="D73" i="1"/>
  <c r="B74" i="1"/>
  <c r="C74" i="1"/>
  <c r="B75" i="1"/>
  <c r="C75" i="1"/>
  <c r="B76" i="1"/>
  <c r="C76" i="1"/>
  <c r="D76" i="1"/>
  <c r="F76" i="1"/>
  <c r="B77" i="1"/>
  <c r="C77" i="1"/>
  <c r="D77" i="1"/>
  <c r="F77" i="1"/>
  <c r="B78" i="1"/>
  <c r="C78" i="1"/>
  <c r="D78" i="1"/>
  <c r="F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35" i="1"/>
  <c r="C35" i="1"/>
  <c r="D35" i="1"/>
  <c r="F35" i="1"/>
  <c r="B36" i="1"/>
  <c r="C36" i="1"/>
  <c r="D36" i="1"/>
  <c r="F36" i="1"/>
  <c r="B37" i="1"/>
  <c r="C37" i="1"/>
  <c r="D37" i="1"/>
  <c r="F37" i="1"/>
  <c r="B38" i="1"/>
  <c r="C38" i="1"/>
  <c r="D38" i="1"/>
  <c r="F38" i="1"/>
  <c r="B39" i="1"/>
  <c r="C39" i="1"/>
  <c r="D39" i="1"/>
  <c r="F39" i="1"/>
  <c r="B40" i="1"/>
  <c r="C40" i="1"/>
  <c r="D40" i="1"/>
  <c r="F40" i="1"/>
  <c r="B41" i="1"/>
  <c r="C41" i="1"/>
  <c r="D41" i="1"/>
  <c r="B42" i="1"/>
  <c r="C42" i="1"/>
  <c r="D42" i="1"/>
  <c r="E42" i="1"/>
  <c r="F34" i="1"/>
  <c r="C34" i="1"/>
  <c r="D34" i="1"/>
  <c r="B34" i="1"/>
  <c r="A34" i="1"/>
  <c r="F3" i="1"/>
  <c r="F2" i="1"/>
  <c r="F3" i="9"/>
  <c r="F2" i="9"/>
  <c r="L71" i="10"/>
  <c r="F71" i="9"/>
  <c r="G62" i="9"/>
  <c r="L39" i="10"/>
  <c r="H39" i="9" s="1"/>
  <c r="E37" i="2"/>
  <c r="H56" i="12"/>
  <c r="G56" i="2"/>
  <c r="H54" i="12"/>
  <c r="F42" i="9"/>
  <c r="H43" i="9"/>
  <c r="F85" i="9"/>
  <c r="E90" i="9"/>
  <c r="B97" i="9"/>
  <c r="C97" i="9"/>
  <c r="D97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34" i="9"/>
  <c r="C34" i="9"/>
  <c r="D34" i="9"/>
  <c r="B35" i="9"/>
  <c r="C35" i="9"/>
  <c r="D35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7" i="9"/>
  <c r="C47" i="9"/>
  <c r="D47" i="9"/>
  <c r="B48" i="9"/>
  <c r="C48" i="9"/>
  <c r="D48" i="9"/>
  <c r="B50" i="9"/>
  <c r="C50" i="9"/>
  <c r="D50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2" i="9"/>
  <c r="C62" i="9"/>
  <c r="D62" i="9"/>
  <c r="B63" i="9"/>
  <c r="C63" i="9"/>
  <c r="D63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83" i="9"/>
  <c r="C83" i="9"/>
  <c r="D83" i="9"/>
  <c r="B84" i="9"/>
  <c r="C84" i="9"/>
  <c r="D84" i="9"/>
  <c r="B85" i="9"/>
  <c r="C85" i="9"/>
  <c r="D85" i="9"/>
  <c r="G63" i="12"/>
  <c r="G51" i="11"/>
  <c r="L52" i="10" s="1"/>
  <c r="H52" i="9" s="1"/>
  <c r="G47" i="12"/>
  <c r="A35" i="12"/>
  <c r="E75" i="11"/>
  <c r="D75" i="1"/>
  <c r="E74" i="11"/>
  <c r="D74" i="1" s="1"/>
  <c r="G70" i="11"/>
  <c r="L35" i="10" s="1"/>
  <c r="F70" i="1"/>
  <c r="E49" i="11"/>
  <c r="D49" i="1" s="1"/>
  <c r="G41" i="11"/>
  <c r="F41" i="1"/>
  <c r="A35" i="11"/>
  <c r="A35" i="1"/>
  <c r="G32" i="11"/>
  <c r="F32" i="1" s="1"/>
  <c r="G31" i="11"/>
  <c r="F31" i="1" s="1"/>
  <c r="G30" i="11"/>
  <c r="F30" i="1" s="1"/>
  <c r="G29" i="11"/>
  <c r="F29" i="1" s="1"/>
  <c r="G28" i="11"/>
  <c r="F28" i="1" s="1"/>
  <c r="G27" i="11"/>
  <c r="F27" i="1" s="1"/>
  <c r="G26" i="11"/>
  <c r="F26" i="1" s="1"/>
  <c r="G25" i="11"/>
  <c r="F25" i="1" s="1"/>
  <c r="G24" i="11"/>
  <c r="F24" i="1" s="1"/>
  <c r="G23" i="11"/>
  <c r="F23" i="1" s="1"/>
  <c r="G22" i="11"/>
  <c r="F22" i="1" s="1"/>
  <c r="G21" i="11"/>
  <c r="F21" i="1" s="1"/>
  <c r="G19" i="11"/>
  <c r="F19" i="1" s="1"/>
  <c r="G12" i="11"/>
  <c r="F12" i="1" s="1"/>
  <c r="G11" i="11"/>
  <c r="F11" i="1" s="1"/>
  <c r="G10" i="11"/>
  <c r="F10" i="1" s="1"/>
  <c r="G9" i="11"/>
  <c r="F9" i="1" s="1"/>
  <c r="G8" i="11"/>
  <c r="F8" i="1" s="1"/>
  <c r="G7" i="11"/>
  <c r="F7" i="1" s="1"/>
  <c r="G5" i="11"/>
  <c r="F5" i="1" s="1"/>
  <c r="G4" i="11"/>
  <c r="F4" i="1" s="1"/>
  <c r="H91" i="9"/>
  <c r="L87" i="10"/>
  <c r="G86" i="9" s="1"/>
  <c r="L75" i="10"/>
  <c r="G75" i="9"/>
  <c r="L74" i="10"/>
  <c r="H74" i="9"/>
  <c r="L48" i="10"/>
  <c r="H48" i="9"/>
  <c r="L40" i="10"/>
  <c r="H40" i="9"/>
  <c r="L38" i="10"/>
  <c r="H38" i="9"/>
  <c r="A34" i="9"/>
  <c r="F31" i="9"/>
  <c r="F30" i="9"/>
  <c r="F26" i="9"/>
  <c r="F25" i="9"/>
  <c r="F22" i="9"/>
  <c r="F21" i="9"/>
  <c r="F12" i="9"/>
  <c r="F11" i="9"/>
  <c r="G72" i="11"/>
  <c r="L37" i="10"/>
  <c r="H37" i="9" s="1"/>
  <c r="E35" i="2"/>
  <c r="F72" i="1"/>
  <c r="L70" i="10"/>
  <c r="G70" i="9" s="1"/>
  <c r="L69" i="10"/>
  <c r="F69" i="9" s="1"/>
  <c r="A36" i="11"/>
  <c r="A37" i="11" s="1"/>
  <c r="A38" i="11" s="1"/>
  <c r="A36" i="1"/>
  <c r="A37" i="1"/>
  <c r="F51" i="1"/>
  <c r="F36" i="12"/>
  <c r="E36" i="2"/>
  <c r="E58" i="2"/>
  <c r="H68" i="12"/>
  <c r="G68" i="2" s="1"/>
  <c r="L57" i="10"/>
  <c r="E57" i="9"/>
  <c r="E70" i="2"/>
  <c r="L64" i="10" l="1"/>
  <c r="G64" i="9" s="1"/>
  <c r="F7" i="9"/>
  <c r="L73" i="10"/>
  <c r="G73" i="9" s="1"/>
  <c r="L72" i="10"/>
  <c r="G72" i="9" s="1"/>
  <c r="L91" i="10"/>
  <c r="F89" i="9" s="1"/>
  <c r="L76" i="10"/>
  <c r="G76" i="9" s="1"/>
  <c r="H35" i="9"/>
  <c r="L44" i="10"/>
  <c r="H44" i="9" s="1"/>
  <c r="A35" i="2"/>
  <c r="A36" i="12"/>
  <c r="G54" i="2"/>
  <c r="A38" i="1"/>
  <c r="A39" i="11"/>
  <c r="G49" i="12"/>
  <c r="F47" i="2"/>
  <c r="F65" i="2"/>
  <c r="H67" i="12"/>
  <c r="G67" i="2" s="1"/>
  <c r="F64" i="2"/>
  <c r="E36" i="10"/>
  <c r="A35" i="9"/>
  <c r="L45" i="10"/>
  <c r="G43" i="11"/>
  <c r="L56" i="10"/>
  <c r="H72" i="12"/>
  <c r="G72" i="2" s="1"/>
  <c r="E56" i="9" l="1"/>
  <c r="L58" i="10"/>
  <c r="E37" i="10"/>
  <c r="A36" i="9"/>
  <c r="G73" i="11"/>
  <c r="F73" i="1" s="1"/>
  <c r="F43" i="1"/>
  <c r="L47" i="10"/>
  <c r="H47" i="9" s="1"/>
  <c r="H51" i="12"/>
  <c r="H52" i="12"/>
  <c r="F49" i="2"/>
  <c r="H45" i="9"/>
  <c r="L55" i="10"/>
  <c r="A39" i="1"/>
  <c r="A40" i="11"/>
  <c r="A36" i="2"/>
  <c r="A37" i="12"/>
  <c r="A41" i="11" l="1"/>
  <c r="A40" i="1"/>
  <c r="E58" i="9"/>
  <c r="L59" i="10"/>
  <c r="H59" i="9" s="1"/>
  <c r="L50" i="10"/>
  <c r="L94" i="10"/>
  <c r="E92" i="9" s="1"/>
  <c r="L68" i="10"/>
  <c r="E68" i="9" s="1"/>
  <c r="G52" i="2"/>
  <c r="G80" i="11"/>
  <c r="A38" i="12"/>
  <c r="A37" i="2"/>
  <c r="H55" i="9"/>
  <c r="L60" i="10"/>
  <c r="G51" i="2"/>
  <c r="G64" i="11"/>
  <c r="H65" i="9"/>
  <c r="L66" i="10"/>
  <c r="H66" i="9" s="1"/>
  <c r="A37" i="9"/>
  <c r="E38" i="10"/>
  <c r="A38" i="9" l="1"/>
  <c r="E39" i="10"/>
  <c r="F64" i="1"/>
  <c r="L34" i="10"/>
  <c r="A39" i="12"/>
  <c r="A38" i="2"/>
  <c r="L63" i="10"/>
  <c r="H60" i="9"/>
  <c r="L41" i="10"/>
  <c r="H41" i="9" s="1"/>
  <c r="F80" i="1"/>
  <c r="H50" i="9"/>
  <c r="L51" i="10"/>
  <c r="A42" i="11"/>
  <c r="A41" i="1"/>
  <c r="L99" i="10" l="1"/>
  <c r="H63" i="9"/>
  <c r="A39" i="9"/>
  <c r="E40" i="10"/>
  <c r="A42" i="1"/>
  <c r="A43" i="11"/>
  <c r="A39" i="2"/>
  <c r="A40" i="12"/>
  <c r="H51" i="9"/>
  <c r="L53" i="10"/>
  <c r="H34" i="9"/>
  <c r="L85" i="10"/>
  <c r="H53" i="9" l="1"/>
  <c r="L54" i="10"/>
  <c r="A44" i="11"/>
  <c r="A43" i="1"/>
  <c r="G49" i="11"/>
  <c r="H97" i="9"/>
  <c r="L89" i="10"/>
  <c r="H87" i="9" s="1"/>
  <c r="H84" i="9"/>
  <c r="A40" i="2"/>
  <c r="A41" i="12"/>
  <c r="E41" i="10"/>
  <c r="A40" i="9"/>
  <c r="E42" i="10" l="1"/>
  <c r="A41" i="9"/>
  <c r="A44" i="1"/>
  <c r="A45" i="11"/>
  <c r="A41" i="2"/>
  <c r="A42" i="12"/>
  <c r="L97" i="10"/>
  <c r="L77" i="10"/>
  <c r="L78" i="10" s="1"/>
  <c r="L83" i="10"/>
  <c r="H54" i="9"/>
  <c r="F49" i="1"/>
  <c r="G52" i="11"/>
  <c r="F52" i="1" s="1"/>
  <c r="L98" i="10" l="1"/>
  <c r="H95" i="9"/>
  <c r="A43" i="12"/>
  <c r="A42" i="2"/>
  <c r="H82" i="9"/>
  <c r="L67" i="10"/>
  <c r="H67" i="9" s="1"/>
  <c r="E43" i="10"/>
  <c r="A42" i="9"/>
  <c r="F77" i="9"/>
  <c r="A45" i="1"/>
  <c r="A46" i="11"/>
  <c r="A43" i="9" l="1"/>
  <c r="E44" i="10"/>
  <c r="A43" i="2"/>
  <c r="A44" i="12"/>
  <c r="L79" i="10"/>
  <c r="L80" i="10" s="1"/>
  <c r="H83" i="9"/>
  <c r="G78" i="9"/>
  <c r="G75" i="11"/>
  <c r="F75" i="1" s="1"/>
  <c r="H96" i="9"/>
  <c r="A46" i="1"/>
  <c r="A47" i="11"/>
  <c r="A47" i="1" l="1"/>
  <c r="A48" i="11"/>
  <c r="E45" i="10"/>
  <c r="A44" i="9"/>
  <c r="H79" i="9"/>
  <c r="A45" i="12"/>
  <c r="A44" i="2"/>
  <c r="A46" i="12" l="1"/>
  <c r="A45" i="2"/>
  <c r="A45" i="9"/>
  <c r="E46" i="10"/>
  <c r="A49" i="11"/>
  <c r="A48" i="1"/>
  <c r="L82" i="10"/>
  <c r="G80" i="9"/>
  <c r="H81" i="9" l="1"/>
  <c r="L90" i="10"/>
  <c r="L95" i="10"/>
  <c r="H93" i="9" s="1"/>
  <c r="A49" i="1"/>
  <c r="A50" i="11"/>
  <c r="A46" i="2"/>
  <c r="A47" i="12"/>
  <c r="E47" i="10"/>
  <c r="A46" i="9"/>
  <c r="A47" i="2" l="1"/>
  <c r="A48" i="12"/>
  <c r="H88" i="9"/>
  <c r="L96" i="10"/>
  <c r="A51" i="11"/>
  <c r="A50" i="1"/>
  <c r="A47" i="9"/>
  <c r="E48" i="10"/>
  <c r="A48" i="2" l="1"/>
  <c r="A49" i="12"/>
  <c r="A51" i="1"/>
  <c r="A52" i="11"/>
  <c r="E49" i="10"/>
  <c r="A48" i="9"/>
  <c r="G74" i="11"/>
  <c r="H94" i="9"/>
  <c r="G79" i="11" l="1"/>
  <c r="F74" i="1"/>
  <c r="A49" i="2"/>
  <c r="A50" i="12"/>
  <c r="A49" i="9"/>
  <c r="E50" i="10"/>
  <c r="A53" i="11"/>
  <c r="A52" i="1"/>
  <c r="A54" i="11" l="1"/>
  <c r="A53" i="1"/>
  <c r="E51" i="10"/>
  <c r="A50" i="9"/>
  <c r="G81" i="11"/>
  <c r="F79" i="1"/>
  <c r="A50" i="2"/>
  <c r="A51" i="12"/>
  <c r="E52" i="10" l="1"/>
  <c r="A51" i="9"/>
  <c r="G82" i="11"/>
  <c r="F81" i="1"/>
  <c r="A54" i="1"/>
  <c r="A55" i="11"/>
  <c r="A52" i="12"/>
  <c r="A51" i="2"/>
  <c r="A52" i="2" l="1"/>
  <c r="A53" i="12"/>
  <c r="G53" i="11"/>
  <c r="F82" i="1"/>
  <c r="G83" i="11"/>
  <c r="F83" i="1" s="1"/>
  <c r="A56" i="11"/>
  <c r="A55" i="1"/>
  <c r="E53" i="10"/>
  <c r="A52" i="9"/>
  <c r="F53" i="1" l="1"/>
  <c r="G54" i="11"/>
  <c r="A57" i="11"/>
  <c r="A56" i="1"/>
  <c r="A53" i="2"/>
  <c r="A54" i="12"/>
  <c r="A53" i="9"/>
  <c r="E54" i="10"/>
  <c r="A58" i="11" l="1"/>
  <c r="A57" i="1"/>
  <c r="A54" i="2"/>
  <c r="A55" i="12"/>
  <c r="F54" i="1"/>
  <c r="G55" i="11"/>
  <c r="A54" i="9"/>
  <c r="E55" i="10"/>
  <c r="F55" i="1" l="1"/>
  <c r="G57" i="11"/>
  <c r="A58" i="1"/>
  <c r="A59" i="11"/>
  <c r="E56" i="10"/>
  <c r="A55" i="9"/>
  <c r="A55" i="2"/>
  <c r="A56" i="12"/>
  <c r="F57" i="1" l="1"/>
  <c r="G58" i="11"/>
  <c r="A56" i="2"/>
  <c r="A57" i="12"/>
  <c r="A60" i="11"/>
  <c r="A59" i="1"/>
  <c r="E57" i="10"/>
  <c r="A56" i="9"/>
  <c r="E58" i="10" l="1"/>
  <c r="A57" i="9"/>
  <c r="F58" i="1"/>
  <c r="G59" i="11"/>
  <c r="F59" i="1" s="1"/>
  <c r="A58" i="12"/>
  <c r="A57" i="2"/>
  <c r="A60" i="1"/>
  <c r="A61" i="11"/>
  <c r="A59" i="12" l="1"/>
  <c r="A58" i="2"/>
  <c r="A62" i="11"/>
  <c r="A61" i="1"/>
  <c r="G60" i="11"/>
  <c r="E59" i="10"/>
  <c r="A58" i="9"/>
  <c r="A62" i="1" l="1"/>
  <c r="A63" i="11"/>
  <c r="E60" i="10"/>
  <c r="A59" i="9"/>
  <c r="G62" i="11"/>
  <c r="F62" i="1" s="1"/>
  <c r="F60" i="1"/>
  <c r="A59" i="2"/>
  <c r="A60" i="12"/>
  <c r="E61" i="10" l="1"/>
  <c r="A60" i="9"/>
  <c r="A63" i="1"/>
  <c r="A64" i="11"/>
  <c r="A61" i="12"/>
  <c r="A60" i="2"/>
  <c r="A65" i="11" l="1"/>
  <c r="A64" i="1"/>
  <c r="A61" i="2"/>
  <c r="A62" i="12"/>
  <c r="A61" i="9"/>
  <c r="E62" i="10"/>
  <c r="A62" i="2" l="1"/>
  <c r="A63" i="12"/>
  <c r="E63" i="10"/>
  <c r="A62" i="9"/>
  <c r="A65" i="1"/>
  <c r="A66" i="11"/>
  <c r="E64" i="10" l="1"/>
  <c r="A63" i="9"/>
  <c r="A67" i="11"/>
  <c r="A66" i="1"/>
  <c r="A63" i="2"/>
  <c r="A64" i="12"/>
  <c r="A65" i="12" l="1"/>
  <c r="A64" i="2"/>
  <c r="A67" i="1"/>
  <c r="A68" i="11"/>
  <c r="E65" i="10"/>
  <c r="A64" i="9"/>
  <c r="A69" i="11" l="1"/>
  <c r="A68" i="1"/>
  <c r="A65" i="9"/>
  <c r="E66" i="10"/>
  <c r="A66" i="12"/>
  <c r="A65" i="2"/>
  <c r="E67" i="10" l="1"/>
  <c r="A66" i="9"/>
  <c r="A66" i="2"/>
  <c r="A67" i="12"/>
  <c r="A70" i="11"/>
  <c r="A69" i="1"/>
  <c r="A67" i="2" l="1"/>
  <c r="A68" i="12"/>
  <c r="A71" i="11"/>
  <c r="A70" i="1"/>
  <c r="E68" i="10"/>
  <c r="A67" i="9"/>
  <c r="A71" i="1" l="1"/>
  <c r="A72" i="11"/>
  <c r="A68" i="2"/>
  <c r="A69" i="12"/>
  <c r="E69" i="10"/>
  <c r="A68" i="9"/>
  <c r="A70" i="12" l="1"/>
  <c r="A69" i="2"/>
  <c r="A73" i="11"/>
  <c r="A72" i="1"/>
  <c r="A69" i="9"/>
  <c r="E70" i="10"/>
  <c r="A73" i="1" l="1"/>
  <c r="A74" i="11"/>
  <c r="E71" i="10"/>
  <c r="A70" i="9"/>
  <c r="A70" i="2"/>
  <c r="A71" i="12"/>
  <c r="A75" i="11" l="1"/>
  <c r="A74" i="1"/>
  <c r="E72" i="10"/>
  <c r="A71" i="9"/>
  <c r="A71" i="2"/>
  <c r="A72" i="12"/>
  <c r="A72" i="2" s="1"/>
  <c r="E73" i="10" l="1"/>
  <c r="A72" i="9"/>
  <c r="A76" i="11"/>
  <c r="A75" i="1"/>
  <c r="A76" i="1" l="1"/>
  <c r="A77" i="11"/>
  <c r="E74" i="10"/>
  <c r="A73" i="9"/>
  <c r="A77" i="1" l="1"/>
  <c r="A78" i="11"/>
  <c r="E75" i="10"/>
  <c r="A74" i="9"/>
  <c r="E76" i="10" l="1"/>
  <c r="A75" i="9"/>
  <c r="A79" i="11"/>
  <c r="A78" i="1"/>
  <c r="A79" i="1" l="1"/>
  <c r="A80" i="11"/>
  <c r="E77" i="10"/>
  <c r="A76" i="9"/>
  <c r="A77" i="9" l="1"/>
  <c r="E78" i="10"/>
  <c r="A81" i="11"/>
  <c r="A80" i="1"/>
  <c r="A81" i="1" l="1"/>
  <c r="A82" i="11"/>
  <c r="E79" i="10"/>
  <c r="A78" i="9"/>
  <c r="E80" i="10" l="1"/>
  <c r="A79" i="9"/>
  <c r="A83" i="11"/>
  <c r="A83" i="1" s="1"/>
  <c r="A82" i="1"/>
  <c r="E82" i="10" l="1"/>
  <c r="A80" i="9"/>
  <c r="A81" i="9" l="1"/>
  <c r="E83" i="10"/>
  <c r="A82" i="9" l="1"/>
  <c r="E84" i="10"/>
  <c r="E85" i="10" l="1"/>
  <c r="A83" i="9"/>
  <c r="E86" i="10" l="1"/>
  <c r="A84" i="9"/>
  <c r="A85" i="9" l="1"/>
  <c r="E87" i="10"/>
  <c r="E89" i="10" l="1"/>
  <c r="A86" i="9"/>
  <c r="E90" i="10" l="1"/>
  <c r="A87" i="9"/>
  <c r="E91" i="10" l="1"/>
  <c r="A88" i="9"/>
  <c r="E92" i="10" l="1"/>
  <c r="A89" i="9"/>
  <c r="E93" i="10" l="1"/>
  <c r="A90" i="9"/>
  <c r="E94" i="10" l="1"/>
  <c r="A91" i="9"/>
  <c r="E95" i="10" l="1"/>
  <c r="A92" i="9"/>
  <c r="A93" i="9" l="1"/>
  <c r="E96" i="10"/>
  <c r="E97" i="10" l="1"/>
  <c r="A94" i="9"/>
  <c r="E98" i="10" l="1"/>
  <c r="A95" i="9"/>
  <c r="E99" i="10" l="1"/>
  <c r="A97" i="9" s="1"/>
  <c r="A96" i="9"/>
</calcChain>
</file>

<file path=xl/sharedStrings.xml><?xml version="1.0" encoding="utf-8"?>
<sst xmlns="http://schemas.openxmlformats.org/spreadsheetml/2006/main" count="1076" uniqueCount="435">
  <si>
    <t>ADDRESS1</t>
  </si>
  <si>
    <t>ADDRESS2</t>
  </si>
  <si>
    <t>CITY</t>
  </si>
  <si>
    <t>STATE</t>
  </si>
  <si>
    <t>ZIP</t>
  </si>
  <si>
    <t>REPORT MONTH</t>
  </si>
  <si>
    <t>PREPARER</t>
  </si>
  <si>
    <t>LEASE NUMBER</t>
  </si>
  <si>
    <t>PREPARER PHONE NUMBER</t>
  </si>
  <si>
    <t>PREPARER FAX NUMBER</t>
  </si>
  <si>
    <t>PHONE NUMBER</t>
  </si>
  <si>
    <t>FAX NUMBER</t>
  </si>
  <si>
    <t>AUTHORIZED SIGNATURE (CODE)</t>
  </si>
  <si>
    <t>AUTHORIZED DATE</t>
  </si>
  <si>
    <t>CUSTOMER ID NUMBER</t>
  </si>
  <si>
    <t>PRODUCTION MONTH</t>
  </si>
  <si>
    <t>CONTROL NUMBER</t>
  </si>
  <si>
    <t>REVISION NO.</t>
  </si>
  <si>
    <t>AUTHORIZED SIGNATURE (Printed Name)</t>
  </si>
  <si>
    <t>LINE NO.</t>
  </si>
  <si>
    <t>ALLOCATION CODE</t>
  </si>
  <si>
    <t>AMOUNT</t>
  </si>
  <si>
    <t>LESSEE NAME</t>
  </si>
  <si>
    <t>ACCOUNTING UNIT</t>
  </si>
  <si>
    <t>ACCOUNT CODE</t>
  </si>
  <si>
    <t>RATE</t>
  </si>
  <si>
    <t>ACCOUNTING UNIT CODE</t>
  </si>
  <si>
    <t>ACCOUNTING UNIT NAME</t>
  </si>
  <si>
    <t>PRODUCT CODE</t>
  </si>
  <si>
    <t>DISPOSITION CODE</t>
  </si>
  <si>
    <t>QUANTITY</t>
  </si>
  <si>
    <t>VALUE</t>
  </si>
  <si>
    <t>SELLING ARR CODE</t>
  </si>
  <si>
    <t>REPORT CODE</t>
  </si>
  <si>
    <t>AC</t>
  </si>
  <si>
    <t>VV</t>
  </si>
  <si>
    <t>AL</t>
  </si>
  <si>
    <t>PPT REPORT</t>
  </si>
  <si>
    <t>PT</t>
  </si>
  <si>
    <t>REPORT TYPE</t>
  </si>
  <si>
    <t>FILING TYPE</t>
  </si>
  <si>
    <t>Factors</t>
  </si>
  <si>
    <t>Code</t>
  </si>
  <si>
    <t>(NPSL Report)</t>
  </si>
  <si>
    <t>Overhead For Opex</t>
  </si>
  <si>
    <t>(PTLA Report)</t>
  </si>
  <si>
    <t>Overhead For Capex</t>
  </si>
  <si>
    <t>CEER</t>
  </si>
  <si>
    <t>Qualified Capex Credit Rate</t>
  </si>
  <si>
    <t>QCEC</t>
  </si>
  <si>
    <t>ACES Effective Date</t>
  </si>
  <si>
    <t>ACES</t>
  </si>
  <si>
    <r>
      <t xml:space="preserve">Threshold #1 Price </t>
    </r>
    <r>
      <rPr>
        <i/>
        <u/>
        <sz val="10"/>
        <color indexed="8"/>
        <rFont val="Cambria"/>
        <family val="1"/>
      </rPr>
      <t>Before Aces</t>
    </r>
  </si>
  <si>
    <r>
      <t xml:space="preserve">Threshold #1 Price </t>
    </r>
    <r>
      <rPr>
        <i/>
        <u/>
        <sz val="10"/>
        <color indexed="60"/>
        <rFont val="Cambria"/>
        <family val="1"/>
      </rPr>
      <t>After Aces</t>
    </r>
  </si>
  <si>
    <r>
      <t xml:space="preserve">Progressive Increment #1 </t>
    </r>
    <r>
      <rPr>
        <i/>
        <u/>
        <sz val="10"/>
        <color indexed="8"/>
        <rFont val="Cambria"/>
        <family val="1"/>
      </rPr>
      <t>Before Aces</t>
    </r>
  </si>
  <si>
    <r>
      <t xml:space="preserve">Progressive Increment #1 </t>
    </r>
    <r>
      <rPr>
        <i/>
        <u/>
        <sz val="10"/>
        <color indexed="60"/>
        <rFont val="Cambria"/>
        <family val="1"/>
      </rPr>
      <t>After Aces</t>
    </r>
  </si>
  <si>
    <r>
      <t xml:space="preserve">Threshold #2 Price </t>
    </r>
    <r>
      <rPr>
        <u/>
        <sz val="10"/>
        <color indexed="60"/>
        <rFont val="Cambria"/>
        <family val="1"/>
      </rPr>
      <t>After Aces</t>
    </r>
  </si>
  <si>
    <t>THR2</t>
  </si>
  <si>
    <r>
      <t xml:space="preserve">Progressive Increment #2 </t>
    </r>
    <r>
      <rPr>
        <i/>
        <u/>
        <sz val="10"/>
        <color indexed="60"/>
        <rFont val="Cambria"/>
        <family val="1"/>
      </rPr>
      <t>After Aces</t>
    </r>
  </si>
  <si>
    <t>MUL2</t>
  </si>
  <si>
    <r>
      <t xml:space="preserve">Max Price Index Based Rate </t>
    </r>
    <r>
      <rPr>
        <i/>
        <u/>
        <sz val="10"/>
        <color indexed="8"/>
        <rFont val="Cambria"/>
        <family val="1"/>
      </rPr>
      <t>Before Aces</t>
    </r>
  </si>
  <si>
    <r>
      <t xml:space="preserve">Max Price Index Based Rate </t>
    </r>
    <r>
      <rPr>
        <i/>
        <u/>
        <sz val="10"/>
        <color indexed="60"/>
        <rFont val="Cambria"/>
        <family val="1"/>
      </rPr>
      <t>After Aces</t>
    </r>
  </si>
  <si>
    <t>Adjustment Factor 2007</t>
  </si>
  <si>
    <t>AF7</t>
  </si>
  <si>
    <t>Adjustment Factor 2008</t>
  </si>
  <si>
    <t>AF8</t>
  </si>
  <si>
    <t>Adjustment Factor 2009</t>
  </si>
  <si>
    <t>AF9</t>
  </si>
  <si>
    <t>Start date for adjustment</t>
  </si>
  <si>
    <t>SD7</t>
  </si>
  <si>
    <t>Start date for 2nd year of adjustment</t>
  </si>
  <si>
    <t>SD8</t>
  </si>
  <si>
    <t>Start date for 3rd year of adjustment</t>
  </si>
  <si>
    <t>SD9</t>
  </si>
  <si>
    <t>End date for cap</t>
  </si>
  <si>
    <t>SD10</t>
  </si>
  <si>
    <t>ALLOCATION CODE DESCRIPTION</t>
  </si>
  <si>
    <t>REPORT/FORMULA</t>
  </si>
  <si>
    <t>REGULATIONS CITE</t>
  </si>
  <si>
    <t>PR</t>
  </si>
  <si>
    <t xml:space="preserve"> </t>
  </si>
  <si>
    <t>TCR</t>
  </si>
  <si>
    <t>Total Credits (Gross Revenue)</t>
  </si>
  <si>
    <t>TOI</t>
  </si>
  <si>
    <t>Total Overhead Items</t>
  </si>
  <si>
    <t>GOAE</t>
  </si>
  <si>
    <t>General Overhead and Admin. Expense</t>
  </si>
  <si>
    <t>AVT</t>
  </si>
  <si>
    <t>Ad Valorem Taxes</t>
  </si>
  <si>
    <t>NOP</t>
  </si>
  <si>
    <t>Non Operator Charges</t>
  </si>
  <si>
    <t>AANOH</t>
  </si>
  <si>
    <t>Audit Adjustments - Non-Overhead items</t>
  </si>
  <si>
    <t>TRYE</t>
  </si>
  <si>
    <t>Royalty payments</t>
  </si>
  <si>
    <t>KPRK</t>
  </si>
  <si>
    <t>11 AAC 83.241(a)(1)</t>
  </si>
  <si>
    <t>BNDCPT</t>
  </si>
  <si>
    <t>NDCPT</t>
  </si>
  <si>
    <t>Net Direct Charges Petroleum Production Tax Lease Allowance</t>
  </si>
  <si>
    <t>DV</t>
  </si>
  <si>
    <t>General Overhead &amp; Administrative Expense</t>
  </si>
  <si>
    <t>RTO</t>
  </si>
  <si>
    <t>Reimbursements to Operator (Capital)</t>
  </si>
  <si>
    <t>EXCAP</t>
  </si>
  <si>
    <t>Excluded capital (see AS 43.55.165(e)(18))</t>
  </si>
  <si>
    <t>QCE</t>
  </si>
  <si>
    <r>
      <t>= TOI</t>
    </r>
    <r>
      <rPr>
        <sz val="10"/>
        <color indexed="8"/>
        <rFont val="Calibri"/>
        <family val="2"/>
      </rPr>
      <t xml:space="preserve"> + RTO + EXCAP</t>
    </r>
  </si>
  <si>
    <t>11 AAC 83.220(a)</t>
  </si>
  <si>
    <t>CAPF</t>
  </si>
  <si>
    <t>Capital Access Fee</t>
  </si>
  <si>
    <t>TPTD</t>
  </si>
  <si>
    <r>
      <t xml:space="preserve">Total </t>
    </r>
    <r>
      <rPr>
        <sz val="10"/>
        <rFont val="Calibri"/>
        <family val="2"/>
      </rPr>
      <t>Petroleum Production Tax Lease Allowance Development Costs</t>
    </r>
  </si>
  <si>
    <t>= QCE + GOAE + CAPF</t>
  </si>
  <si>
    <t>PTNR</t>
  </si>
  <si>
    <t>Petroleum Production Tax Lease Allowance Net Revenue</t>
  </si>
  <si>
    <t xml:space="preserve"> = TCR + NDCPT + TRYE + TPTD</t>
  </si>
  <si>
    <t>B</t>
  </si>
  <si>
    <t>TWIO</t>
  </si>
  <si>
    <t xml:space="preserve">Working Interest Ownership Volume (BOE) </t>
  </si>
  <si>
    <t>TRV</t>
  </si>
  <si>
    <t xml:space="preserve">Royalty Volume (BOE) </t>
  </si>
  <si>
    <t>PTWIO</t>
  </si>
  <si>
    <t>Petroleum Production Tax Lease Allowance Working Interest Owner Volume (BOE) net of Royalty Volume (BOE)</t>
  </si>
  <si>
    <r>
      <t>= RTO + TOI</t>
    </r>
    <r>
      <rPr>
        <sz val="10"/>
        <color indexed="8"/>
        <rFont val="Calibri"/>
        <family val="2"/>
      </rPr>
      <t xml:space="preserve"> + EXCAP</t>
    </r>
  </si>
  <si>
    <t xml:space="preserve">=(1+ IR) ^12 - 1 </t>
  </si>
  <si>
    <t>Defined in Lease</t>
  </si>
  <si>
    <t>C</t>
  </si>
  <si>
    <t>PTLB</t>
  </si>
  <si>
    <t>Petroleum Production Tax Lease Allowance loss before production</t>
  </si>
  <si>
    <t>11 AAC 83.220(c)</t>
  </si>
  <si>
    <t>PTLBC</t>
  </si>
  <si>
    <t>Petroleum Production Tax Lease Allowance loss before production credit</t>
  </si>
  <si>
    <t>D</t>
  </si>
  <si>
    <r>
      <rPr>
        <sz val="10"/>
        <rFont val="Calibri"/>
        <family val="2"/>
      </rPr>
      <t>Petroleum Production Tax Lease Allowance</t>
    </r>
    <r>
      <rPr>
        <sz val="10"/>
        <color indexed="8"/>
        <rFont val="Calibri"/>
        <family val="2"/>
      </rPr>
      <t xml:space="preserve"> Net Revenue </t>
    </r>
  </si>
  <si>
    <t>11 AAC 83.241(c)</t>
  </si>
  <si>
    <t>Petroleum Production Tax Lease Allowance for Working Interest Owner Volumes (BOE) net of Royalty Volumes (BOE)</t>
  </si>
  <si>
    <t>THR1</t>
  </si>
  <si>
    <t>Threshold #1</t>
  </si>
  <si>
    <t>MUL1</t>
  </si>
  <si>
    <t>Threshold #2</t>
  </si>
  <si>
    <t>BEGB</t>
  </si>
  <si>
    <t>Beginning Balance</t>
  </si>
  <si>
    <t>NP</t>
  </si>
  <si>
    <t>NPR</t>
  </si>
  <si>
    <t>Net Profit Share Rate</t>
  </si>
  <si>
    <t>BTR</t>
  </si>
  <si>
    <t>Base Tax Rate</t>
  </si>
  <si>
    <t>POS</t>
  </si>
  <si>
    <t>Payout Status Estimate</t>
  </si>
  <si>
    <t>NPDF</t>
  </si>
  <si>
    <t>PTNRB</t>
  </si>
  <si>
    <r>
      <rPr>
        <sz val="10"/>
        <rFont val="Calibri"/>
        <family val="2"/>
      </rPr>
      <t>Petroleum Production Tax Lease</t>
    </r>
    <r>
      <rPr>
        <sz val="10"/>
        <color indexed="8"/>
        <rFont val="Calibri"/>
        <family val="2"/>
      </rPr>
      <t xml:space="preserve"> Allowance net revenue per BOE </t>
    </r>
  </si>
  <si>
    <t>PTPIR</t>
  </si>
  <si>
    <t xml:space="preserve">Petroleum Production Tax Lease Allowance Price Index Rate </t>
  </si>
  <si>
    <t>PTPI</t>
  </si>
  <si>
    <r>
      <rPr>
        <sz val="10"/>
        <rFont val="Calibri"/>
        <family val="2"/>
      </rPr>
      <t>Petroleum Production Tax Lease Allowance</t>
    </r>
    <r>
      <rPr>
        <sz val="10"/>
        <color indexed="8"/>
        <rFont val="Calibri"/>
        <family val="2"/>
      </rPr>
      <t xml:space="preserve">  Price Index </t>
    </r>
  </si>
  <si>
    <t>E</t>
  </si>
  <si>
    <r>
      <rPr>
        <sz val="10"/>
        <rFont val="Calibri"/>
        <family val="2"/>
      </rPr>
      <t>Petroleum Production Tax Lease</t>
    </r>
    <r>
      <rPr>
        <sz val="10"/>
        <color indexed="8"/>
        <rFont val="Calibri"/>
        <family val="2"/>
      </rPr>
      <t xml:space="preserve"> Allowance Net Revenue </t>
    </r>
  </si>
  <si>
    <t>11 AAC 83.241(b)(1)</t>
  </si>
  <si>
    <t>PTSE</t>
  </si>
  <si>
    <t xml:space="preserve">Petroleum Production Tax Lease Allowance Section (e) </t>
  </si>
  <si>
    <t>GVPOP</t>
  </si>
  <si>
    <t>Gross Value at Point of Production</t>
  </si>
  <si>
    <t>= TCR + TRYE</t>
  </si>
  <si>
    <t>11 AAC 83.241(b)(2)(B)</t>
  </si>
  <si>
    <t>ANS</t>
  </si>
  <si>
    <t>West Coast ANS price</t>
  </si>
  <si>
    <t>Enter This Information</t>
  </si>
  <si>
    <t>PTMTR</t>
  </si>
  <si>
    <r>
      <rPr>
        <sz val="10"/>
        <rFont val="Calibri"/>
        <family val="2"/>
      </rPr>
      <t>Petroleum Production Tax Lease Allowance</t>
    </r>
    <r>
      <rPr>
        <sz val="10"/>
        <color indexed="8"/>
        <rFont val="Calibri"/>
        <family val="2"/>
      </rPr>
      <t xml:space="preserve"> minimum tax rate </t>
    </r>
  </si>
  <si>
    <t>= IF(ANS&lt;$15/bbl, 0, IF(ANS&lt;$17.50/bbl, 1%, IF(ANS&lt;$20/bbl, 2%, IF(ANS&lt;$25/bbl, 3%, 4% When ANS&gt;$25/bbl))))</t>
  </si>
  <si>
    <t>PTMT</t>
  </si>
  <si>
    <t xml:space="preserve">Petroleum Production Tax Lease Allowance Minimum Tax </t>
  </si>
  <si>
    <r>
      <rPr>
        <sz val="10"/>
        <rFont val="Calibri"/>
        <family val="2"/>
      </rPr>
      <t>Petroleum Production Tax Lease Allowance</t>
    </r>
    <r>
      <rPr>
        <sz val="10"/>
        <color indexed="8"/>
        <rFont val="Calibri"/>
        <family val="2"/>
      </rPr>
      <t xml:space="preserve"> base before credits</t>
    </r>
  </si>
  <si>
    <t>= MAX(PTMT, PTSE + PTPI)</t>
  </si>
  <si>
    <t>11 AAC 83.241(b)</t>
  </si>
  <si>
    <t>SPC</t>
  </si>
  <si>
    <t>DOM</t>
  </si>
  <si>
    <t>Days in the month</t>
  </si>
  <si>
    <t>SWTPD</t>
  </si>
  <si>
    <t>PTTSPC</t>
  </si>
  <si>
    <t>Petroleum Production Tax Lease Allowance Small Producer Credit</t>
  </si>
  <si>
    <t>11 AAC 83.241(d)</t>
  </si>
  <si>
    <t>PWIOD</t>
  </si>
  <si>
    <t>= PTWIO/(Days in the month)</t>
  </si>
  <si>
    <t>PTSPC</t>
  </si>
  <si>
    <t xml:space="preserve">Petroleum Production Tax Lease Allowance lease allocated small producer credit </t>
  </si>
  <si>
    <t>G</t>
  </si>
  <si>
    <t>Petroleum Production Tax Lease Allowance</t>
  </si>
  <si>
    <t>PTLA</t>
  </si>
  <si>
    <t>H</t>
  </si>
  <si>
    <t xml:space="preserve">PTLR </t>
  </si>
  <si>
    <t>Petroleum Production Tax lease allowance loss against Revenue Account</t>
  </si>
  <si>
    <t>11 AAC 83.209(a)</t>
  </si>
  <si>
    <t>PTLRC</t>
  </si>
  <si>
    <r>
      <t>Petroleum Production Tax lease allowance</t>
    </r>
    <r>
      <rPr>
        <sz val="10"/>
        <color indexed="17"/>
        <rFont val="Calibri"/>
        <family val="2"/>
      </rPr>
      <t xml:space="preserve"> </t>
    </r>
    <r>
      <rPr>
        <sz val="10"/>
        <rFont val="Calibri"/>
        <family val="2"/>
      </rPr>
      <t>loss</t>
    </r>
    <r>
      <rPr>
        <sz val="10"/>
        <color indexed="17"/>
        <rFont val="Calibri"/>
        <family val="2"/>
      </rPr>
      <t xml:space="preserve"> </t>
    </r>
    <r>
      <rPr>
        <sz val="10"/>
        <color indexed="8"/>
        <rFont val="Calibri"/>
        <family val="2"/>
      </rPr>
      <t>against Revenue Account Credit</t>
    </r>
  </si>
  <si>
    <t>I</t>
  </si>
  <si>
    <t>PTDC</t>
  </si>
  <si>
    <t>Petroleum Production Tax Lease Allowance Development Account Credits</t>
  </si>
  <si>
    <t>= QCEC + PTLBC</t>
  </si>
  <si>
    <t>11 AAC 83.220(b) &amp; (c)</t>
  </si>
  <si>
    <t>LEASE</t>
  </si>
  <si>
    <t>ABC</t>
  </si>
  <si>
    <t>EPPD</t>
  </si>
  <si>
    <t xml:space="preserve"> Exploration Pre and Post Drilling</t>
  </si>
  <si>
    <t>CPD</t>
  </si>
  <si>
    <t>Construction Project Design Costs</t>
  </si>
  <si>
    <t>CWP</t>
  </si>
  <si>
    <t>Cost of Capital Work-in-Progress</t>
  </si>
  <si>
    <t>DCW</t>
  </si>
  <si>
    <t>WLE</t>
  </si>
  <si>
    <t xml:space="preserve"> Well &amp; Lease Equipment Costs</t>
  </si>
  <si>
    <t>AAOH</t>
  </si>
  <si>
    <t>Audit Adjustments - Overhead Items</t>
  </si>
  <si>
    <t>OVHR</t>
  </si>
  <si>
    <t>General Overhead and Admin. Expense Rate</t>
  </si>
  <si>
    <t>RLP</t>
  </si>
  <si>
    <t>Rentals/Licenses/Permits</t>
  </si>
  <si>
    <t>API</t>
  </si>
  <si>
    <t>Cost to Acquire Production Interest</t>
  </si>
  <si>
    <t>PPT</t>
  </si>
  <si>
    <t>Pre-Production Taxes</t>
  </si>
  <si>
    <t>EIC</t>
  </si>
  <si>
    <t>Exploration Incentive Credit</t>
  </si>
  <si>
    <t>PPT credits development account (from PT)</t>
  </si>
  <si>
    <r>
      <t xml:space="preserve">Capital Access Fee - </t>
    </r>
    <r>
      <rPr>
        <b/>
        <sz val="8"/>
        <rFont val="Arial"/>
        <family val="2"/>
      </rPr>
      <t>Milne Point Leases Only</t>
    </r>
  </si>
  <si>
    <t>TOTDC</t>
  </si>
  <si>
    <t>Total Development Costs</t>
  </si>
  <si>
    <t>CPR</t>
  </si>
  <si>
    <t>Credit from Production Revenue</t>
  </si>
  <si>
    <t>PEB</t>
  </si>
  <si>
    <t>Preliminary Ending Balance</t>
  </si>
  <si>
    <t>PRIN</t>
  </si>
  <si>
    <t>Principal</t>
  </si>
  <si>
    <t>IR</t>
  </si>
  <si>
    <t>Interest Rate</t>
  </si>
  <si>
    <t>AINT</t>
  </si>
  <si>
    <t>Accrued Interest</t>
  </si>
  <si>
    <t>DEV</t>
  </si>
  <si>
    <t>Development Acct Credit Ending Balance</t>
  </si>
  <si>
    <t>ENDB</t>
  </si>
  <si>
    <t>Ending Balance</t>
  </si>
  <si>
    <t>TAD</t>
  </si>
  <si>
    <t>Total Amount Due</t>
  </si>
  <si>
    <t xml:space="preserve"> Beginning Balance</t>
  </si>
  <si>
    <t>Total Credits (from VV)</t>
  </si>
  <si>
    <t>PO</t>
  </si>
  <si>
    <t>Production Operations Expense</t>
  </si>
  <si>
    <t>DL</t>
  </si>
  <si>
    <t>Damages and Losses</t>
  </si>
  <si>
    <t>OTH</t>
  </si>
  <si>
    <t>Other Charges</t>
  </si>
  <si>
    <t>LR</t>
  </si>
  <si>
    <t>Lease Rentals</t>
  </si>
  <si>
    <t>TAC</t>
  </si>
  <si>
    <t>Total Abandonment Cost (from VV)</t>
  </si>
  <si>
    <t>Petroleum Production Tax Lease Allowance (from PT)</t>
  </si>
  <si>
    <t>Loss Carryforward credit (from PT)</t>
  </si>
  <si>
    <t>Audit Adjustments - Non - Overhead Items</t>
  </si>
  <si>
    <t>TDC</t>
  </si>
  <si>
    <t>Total Direct Charges (Operating)</t>
  </si>
  <si>
    <t>Total Royalty Expense Amount (from VV)</t>
  </si>
  <si>
    <t>TDB</t>
  </si>
  <si>
    <t>Total Debits</t>
  </si>
  <si>
    <t>PREV</t>
  </si>
  <si>
    <t>Production Revenue for the Month</t>
  </si>
  <si>
    <t>Legend</t>
  </si>
  <si>
    <t>Calculated Cell (Formula, Do Not Override)</t>
  </si>
  <si>
    <t>Calculated Cell (From PT Schedule)</t>
  </si>
  <si>
    <t>Calculated Cell (From VV Schedule)</t>
  </si>
  <si>
    <t>REG</t>
  </si>
  <si>
    <t>00</t>
  </si>
  <si>
    <t>ADL #</t>
  </si>
  <si>
    <t>XYZ Company</t>
  </si>
  <si>
    <t>Enter Data</t>
  </si>
  <si>
    <t>QUALITY MEASUREMENT</t>
  </si>
  <si>
    <t>O</t>
  </si>
  <si>
    <t>0010</t>
  </si>
  <si>
    <t>WIO</t>
  </si>
  <si>
    <t>211001A000</t>
  </si>
  <si>
    <t>Working Interest Ownership</t>
  </si>
  <si>
    <t>2010</t>
  </si>
  <si>
    <t>ROY</t>
  </si>
  <si>
    <t>Royalty Volume</t>
  </si>
  <si>
    <t>RIV</t>
  </si>
  <si>
    <t>Royalty-In-Value</t>
  </si>
  <si>
    <t>RIK</t>
  </si>
  <si>
    <t>Royalty-In-Kind</t>
  </si>
  <si>
    <t>SV</t>
  </si>
  <si>
    <t>Starting Value</t>
  </si>
  <si>
    <t>TT</t>
  </si>
  <si>
    <t>TAPS Tariff</t>
  </si>
  <si>
    <t>L</t>
  </si>
  <si>
    <t>Losses</t>
  </si>
  <si>
    <t>QA</t>
  </si>
  <si>
    <t>Quality Bank Adjustment</t>
  </si>
  <si>
    <t>SVA</t>
  </si>
  <si>
    <t>Settlement Value Adjustment</t>
  </si>
  <si>
    <t>TADJ</t>
  </si>
  <si>
    <t>Transportation Adjustment</t>
  </si>
  <si>
    <t>AA</t>
  </si>
  <si>
    <t>Audit Adjustment Value</t>
  </si>
  <si>
    <t>RV</t>
  </si>
  <si>
    <t>Royalty Value</t>
  </si>
  <si>
    <t>FC</t>
  </si>
  <si>
    <t>Field Cost</t>
  </si>
  <si>
    <t>WH</t>
  </si>
  <si>
    <t>Well Head</t>
  </si>
  <si>
    <t>SADJ</t>
  </si>
  <si>
    <t>Settlement Adjustment</t>
  </si>
  <si>
    <t>TV</t>
  </si>
  <si>
    <t>Total Value in Dollars</t>
  </si>
  <si>
    <t>RYE</t>
  </si>
  <si>
    <t>Royalty Expense</t>
  </si>
  <si>
    <t>ACR</t>
  </si>
  <si>
    <t>Abandonment Cost Rate per Barrel</t>
  </si>
  <si>
    <t>Abandonment Cost</t>
  </si>
  <si>
    <t>CAPFR</t>
  </si>
  <si>
    <t>Capital Access Fee Rate per Barrel-Milne Pt Only</t>
  </si>
  <si>
    <t>Capital Access Fee-Milne Pt Only</t>
  </si>
  <si>
    <t>(VOLUME/VALUE REPORT)</t>
  </si>
  <si>
    <t>(NPSL REPORT)</t>
  </si>
  <si>
    <t>(ACCOUNT REPORT)</t>
  </si>
  <si>
    <t>NPAR</t>
  </si>
  <si>
    <r>
      <t>= [</t>
    </r>
    <r>
      <rPr>
        <b/>
        <sz val="12"/>
        <color indexed="8"/>
        <rFont val="Calibri"/>
        <family val="2"/>
      </rPr>
      <t>-</t>
    </r>
    <r>
      <rPr>
        <sz val="10"/>
        <color indexed="8"/>
        <rFont val="Calibri"/>
        <family val="2"/>
      </rPr>
      <t xml:space="preserve"> 20% * IF (PDM0 &lt; 7/2007, QCE), else </t>
    </r>
    <r>
      <rPr>
        <sz val="10"/>
        <rFont val="Calibri"/>
        <family val="2"/>
      </rPr>
      <t xml:space="preserve">(50% </t>
    </r>
    <r>
      <rPr>
        <b/>
        <sz val="10"/>
        <rFont val="Calibri"/>
        <family val="2"/>
      </rPr>
      <t>*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QCE  + (50% </t>
    </r>
    <r>
      <rPr>
        <b/>
        <sz val="10"/>
        <rFont val="Calibri"/>
        <family val="2"/>
      </rPr>
      <t>*</t>
    </r>
    <r>
      <rPr>
        <sz val="10"/>
        <rFont val="Calibri"/>
        <family val="2"/>
      </rPr>
      <t xml:space="preserve"> QCE) / (1 + NPAR))]</t>
    </r>
  </si>
  <si>
    <t>MPIR</t>
  </si>
  <si>
    <t>Maximum Price Index Rate</t>
  </si>
  <si>
    <t>Overhead for Development Account</t>
  </si>
  <si>
    <t>Overhead for Production Revenue Account</t>
  </si>
  <si>
    <t>CFCR</t>
  </si>
  <si>
    <t>QCECR</t>
  </si>
  <si>
    <t>Loss Carry Forward Credit Rate</t>
  </si>
  <si>
    <t>Capital Exclusion - Cents Per BOE</t>
  </si>
  <si>
    <t>Qualified Capital Expenditure Rate</t>
  </si>
  <si>
    <t>= IF (PDMO&lt;07/01/2007 then 0.25%, else 0.40%)</t>
  </si>
  <si>
    <t>= IF (PDMO&lt;07/01/2007 then $40.00, else $30.00)</t>
  </si>
  <si>
    <t>= IF (PDMO&lt;07/01/2007 then 25%, else 50%)</t>
  </si>
  <si>
    <t>QCC</t>
  </si>
  <si>
    <t>LCF</t>
  </si>
  <si>
    <t>TBP</t>
  </si>
  <si>
    <t>PTB</t>
  </si>
  <si>
    <t>LCC</t>
  </si>
  <si>
    <t>PPC</t>
  </si>
  <si>
    <t>A</t>
  </si>
  <si>
    <t>11 AAC 83.241(c)(2)</t>
  </si>
  <si>
    <t xml:space="preserve">11 AAC 83.241(c)(2) </t>
  </si>
  <si>
    <t>11 AAC 83.220(a)(5)</t>
  </si>
  <si>
    <t>11 AAC 83.220(b)</t>
  </si>
  <si>
    <t>11 AAC 83.241(e)</t>
  </si>
  <si>
    <t>11 AAC 83.241(a)(1)(A)</t>
  </si>
  <si>
    <t>11 AAC 83.241(d)(2)(B)</t>
  </si>
  <si>
    <t>11 AAC 83.241(a)(2)(A)</t>
  </si>
  <si>
    <t>11 AAC 83.241(a)(2)</t>
  </si>
  <si>
    <t>11 AAC 83.241(a)</t>
  </si>
  <si>
    <t>PTL</t>
  </si>
  <si>
    <t xml:space="preserve">Petroleum Production Tax Lease Allowance Net Revenue Calculation </t>
  </si>
  <si>
    <t>Qualified Capital Expenditure Credit Calculation</t>
  </si>
  <si>
    <t>Loss Carry Forward Calculation</t>
  </si>
  <si>
    <t>Tax Based On Price Index Liability</t>
  </si>
  <si>
    <t>Petroleum Production Tax Lease Allowance Before Credits Calculation</t>
  </si>
  <si>
    <t>F</t>
  </si>
  <si>
    <t>Small Producer Credit</t>
  </si>
  <si>
    <t>Petroleum Production Tax Development Account Credits</t>
  </si>
  <si>
    <t>Net Profit Annual Rate</t>
  </si>
  <si>
    <t>Multiplier #1 (Progressive Increment #1)</t>
  </si>
  <si>
    <t>Multiplier #2 (Progressive Increment #2)</t>
  </si>
  <si>
    <t>PTBC</t>
  </si>
  <si>
    <t>Petroleum Production Tax Lease Allowance Calculation</t>
  </si>
  <si>
    <t>Qualified Capital Expenditures</t>
  </si>
  <si>
    <t>Net Profit Deductibility Factor</t>
  </si>
  <si>
    <t>= PTBC +  PTSPC</t>
  </si>
  <si>
    <t>PTR</t>
  </si>
  <si>
    <t>Fixed Variables Description</t>
  </si>
  <si>
    <t>PR OVHR</t>
  </si>
  <si>
    <t>DV OVHR</t>
  </si>
  <si>
    <t>Base Annual Net Direct Charges</t>
  </si>
  <si>
    <t>Qualified Capital Expenditures Credit</t>
  </si>
  <si>
    <t>BOER</t>
  </si>
  <si>
    <t xml:space="preserve">Conversion Rate To Barrels Value </t>
  </si>
  <si>
    <t>KTM</t>
  </si>
  <si>
    <t>Kuparuk To Milne Point Pipeline Tariff</t>
  </si>
  <si>
    <t>MT</t>
  </si>
  <si>
    <t xml:space="preserve">Milne Tariff </t>
  </si>
  <si>
    <t>Working Interest Ownership in Mcf</t>
  </si>
  <si>
    <r>
      <t>= CEER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 xml:space="preserve"> PTWIO</t>
    </r>
  </si>
  <si>
    <t>= CFCR * (PTLB)</t>
  </si>
  <si>
    <t>= QCECR ( 20% )</t>
  </si>
  <si>
    <t>= PTWIO</t>
  </si>
  <si>
    <t>= IF (PDMO&lt;07/01/2007 then 0.25%, else 0.10%)</t>
  </si>
  <si>
    <t>= IF (PDMO&lt; 07/01/2007,22.5%,25%)</t>
  </si>
  <si>
    <t>= IF (BEGB + PTNR&lt;0,1,0)</t>
  </si>
  <si>
    <t>= IF (PDMO &lt; 07/01/2007 or POS = 0, 1, (1-NPR)/(1-BTR x NPR))</t>
  </si>
  <si>
    <t>15 AAC 55.171 (m)</t>
  </si>
  <si>
    <r>
      <t>= TWIO -</t>
    </r>
    <r>
      <rPr>
        <sz val="10"/>
        <color indexed="8"/>
        <rFont val="Calibri"/>
        <family val="2"/>
      </rPr>
      <t xml:space="preserve"> TRV</t>
    </r>
  </si>
  <si>
    <t>= IF(PDMO&lt; 7/1/2007,MIN (Max Rate Before Aces),MAX(0,(PTNRB - Threshold #1)*Multiplier #1)),MIN(Max Rate After Aces),MAX(0,(MIN(PTNRB,Threshold #2)-Threshold #1)*Multiplier #1+MAX(0,(PTNRB - Threshold #2)*Multiplier #2))))</t>
  </si>
  <si>
    <t>AS 43.55.011(e)</t>
  </si>
  <si>
    <t xml:space="preserve"> Drilling Costs - Well</t>
  </si>
  <si>
    <t>11 AAC 83.241(c)(1)</t>
  </si>
  <si>
    <t>11 AAC 83.241(c)(3)</t>
  </si>
  <si>
    <t>WIOB</t>
  </si>
  <si>
    <t>ROYB</t>
  </si>
  <si>
    <t>= WIO (bbls) +  WIOB (WIO (mcf)/6) FROM VV REPORT</t>
  </si>
  <si>
    <t>WIO Mcf Volume Converted To BOE Volume</t>
  </si>
  <si>
    <t>=IF (After 12/2006 and before 1/2010 and part of Kuparuk River Unit, then BNDCPT/9 * Adj Factor, else TOI+GOAE+AVT+NOP+AANOH)</t>
  </si>
  <si>
    <t>Kuparuk Lease (Yes = 1, No = 2)</t>
  </si>
  <si>
    <t>ROY Mcf Volume Converted To BOE Volume</t>
  </si>
  <si>
    <t>0300</t>
  </si>
  <si>
    <t>2300</t>
  </si>
  <si>
    <t>State-wide total production net of royalty on a BOE per day.</t>
  </si>
  <si>
    <t>Petroleum Production Tax Lease Allowance Working Interest Owner Volumes net of Royalty in BOE per day for the lease.</t>
  </si>
  <si>
    <t>000012345</t>
  </si>
  <si>
    <t>AC (VV if Unitized Substances)</t>
  </si>
  <si>
    <r>
      <t xml:space="preserve">= IF (PTTSPC = 0, then 0, else (and(PTMT&gt;PTSE+PTPI,PDMO &gt; = 7/2007), then 0, else </t>
    </r>
    <r>
      <rPr>
        <b/>
        <sz val="12"/>
        <rFont val="Calibri"/>
        <family val="2"/>
      </rPr>
      <t xml:space="preserve">- </t>
    </r>
    <r>
      <rPr>
        <sz val="10"/>
        <rFont val="Calibri"/>
        <family val="2"/>
      </rPr>
      <t xml:space="preserve">min (IF(PDMO&lt;7/2007,PTSE,PTSE+PTPI), 
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PTTSPC </t>
    </r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(PWIOD / SWTPD)))))</t>
    </r>
  </si>
  <si>
    <r>
      <rPr>
        <i/>
        <u/>
        <sz val="10"/>
        <rFont val="Cambria"/>
        <family val="1"/>
      </rPr>
      <t>Before ACES</t>
    </r>
    <r>
      <rPr>
        <i/>
        <sz val="10"/>
        <color indexed="23"/>
        <rFont val="Cambria"/>
        <family val="1"/>
      </rPr>
      <t xml:space="preserve"> </t>
    </r>
    <r>
      <rPr>
        <i/>
        <sz val="10"/>
        <rFont val="Cambria"/>
        <family val="1"/>
      </rPr>
      <t>Loss Carry Forward Cr. Rate</t>
    </r>
  </si>
  <si>
    <r>
      <rPr>
        <i/>
        <u val="double"/>
        <sz val="10"/>
        <color indexed="60"/>
        <rFont val="Cambria"/>
        <family val="1"/>
      </rPr>
      <t>After ACES</t>
    </r>
    <r>
      <rPr>
        <i/>
        <sz val="10"/>
        <color indexed="23"/>
        <rFont val="Cambria"/>
        <family val="1"/>
      </rPr>
      <t xml:space="preserve"> </t>
    </r>
    <r>
      <rPr>
        <i/>
        <sz val="10"/>
        <rFont val="Cambria"/>
        <family val="1"/>
      </rPr>
      <t>Loss Carry Forward Cr. Rate</t>
    </r>
  </si>
  <si>
    <r>
      <rPr>
        <i/>
        <u/>
        <sz val="10"/>
        <rFont val="Cambria"/>
        <family val="1"/>
      </rPr>
      <t>Before ACES</t>
    </r>
    <r>
      <rPr>
        <i/>
        <sz val="10"/>
        <color indexed="23"/>
        <rFont val="Cambria"/>
        <family val="1"/>
      </rPr>
      <t xml:space="preserve"> </t>
    </r>
    <r>
      <rPr>
        <i/>
        <sz val="10"/>
        <rFont val="Cambria"/>
        <family val="1"/>
      </rPr>
      <t>Section e) Tax Rate</t>
    </r>
  </si>
  <si>
    <r>
      <rPr>
        <i/>
        <u val="double"/>
        <sz val="10"/>
        <color indexed="60"/>
        <rFont val="Cambria"/>
        <family val="1"/>
      </rPr>
      <t>After ACES</t>
    </r>
    <r>
      <rPr>
        <b/>
        <i/>
        <sz val="10"/>
        <color indexed="17"/>
        <rFont val="Cambria"/>
        <family val="1"/>
      </rPr>
      <t xml:space="preserve"> </t>
    </r>
    <r>
      <rPr>
        <i/>
        <sz val="10"/>
        <rFont val="Cambria"/>
        <family val="1"/>
      </rPr>
      <t>Section e) Tax Rate</t>
    </r>
  </si>
  <si>
    <r>
      <t xml:space="preserve">=IF (After 12/2006 and before 1/2010 and part of Kuparuk River Unit, then sum NDCPT from April 2006 to end of year, else zero).  </t>
    </r>
    <r>
      <rPr>
        <b/>
        <sz val="10"/>
        <color indexed="8"/>
        <rFont val="Calibri"/>
        <family val="2"/>
      </rPr>
      <t>Enter this information</t>
    </r>
  </si>
  <si>
    <r>
      <t xml:space="preserve">= </t>
    </r>
    <r>
      <rPr>
        <sz val="10"/>
        <color indexed="8"/>
        <rFont val="Calibri"/>
        <family val="2"/>
      </rPr>
      <t>ROY (bbls) + ROYB (ROY (mcf)/6) FROM VV REPORT</t>
    </r>
  </si>
  <si>
    <r>
      <t xml:space="preserve">= IF (PTWIO = 0, then 0, else </t>
    </r>
    <r>
      <rPr>
        <b/>
        <sz val="12"/>
        <color indexed="8"/>
        <rFont val="Calibri"/>
        <family val="2"/>
      </rPr>
      <t>-</t>
    </r>
    <r>
      <rPr>
        <sz val="10"/>
        <color indexed="8"/>
        <rFont val="Calibri"/>
        <family val="2"/>
      </rPr>
      <t xml:space="preserve"> PTNR / [(PTWIO/NPDF)])</t>
    </r>
  </si>
  <si>
    <r>
      <t xml:space="preserve">Enter This Information From:
</t>
    </r>
    <r>
      <rPr>
        <b/>
        <sz val="10"/>
        <rFont val="Calibri"/>
        <family val="2"/>
      </rPr>
      <t>www.tax.alaska.gov/programs/oil/prevailing/ans.aspx</t>
    </r>
  </si>
  <si>
    <r>
      <t xml:space="preserve">= IF SWTPD = 0, 0, </t>
    </r>
    <r>
      <rPr>
        <b/>
        <sz val="12"/>
        <rFont val="Calibri"/>
        <family val="2"/>
      </rPr>
      <t>-</t>
    </r>
    <r>
      <rPr>
        <sz val="10"/>
        <rFont val="Calibri"/>
        <family val="2"/>
      </rPr>
      <t>1</t>
    </r>
    <r>
      <rPr>
        <sz val="14"/>
        <rFont val="Calibri"/>
        <family val="2"/>
      </rPr>
      <t xml:space="preserve"> </t>
    </r>
    <r>
      <rPr>
        <b/>
        <vertAlign val="subscript"/>
        <sz val="16"/>
        <rFont val="Calibri"/>
        <family val="2"/>
      </rPr>
      <t>*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[IF(SWTPD&lt;50,000 bbls,$1,000,000, IF(SWTPD&gt;100,000 bbls,0,
$1,000,000</t>
    </r>
    <r>
      <rPr>
        <b/>
        <sz val="10"/>
        <rFont val="Calibri"/>
        <family val="2"/>
      </rPr>
      <t>*</t>
    </r>
    <r>
      <rPr>
        <sz val="10"/>
        <rFont val="Calibri"/>
        <family val="2"/>
      </rPr>
      <t>(1-(2</t>
    </r>
    <r>
      <rPr>
        <b/>
        <sz val="10"/>
        <rFont val="Calibri"/>
        <family val="2"/>
      </rPr>
      <t>*</t>
    </r>
    <r>
      <rPr>
        <sz val="10"/>
        <rFont val="Calibri"/>
        <family val="2"/>
      </rPr>
      <t>(SWTPD-50,000 bbls))/100,000 bbls))]</t>
    </r>
  </si>
  <si>
    <t>Loss Carry Forward Credit Against Production Revenue Account</t>
  </si>
  <si>
    <r>
      <t>= IF(PDMO &lt;7/1/2007,</t>
    </r>
    <r>
      <rPr>
        <b/>
        <sz val="12"/>
        <rFont val="Calibri"/>
        <family val="2"/>
      </rPr>
      <t>-</t>
    </r>
    <r>
      <rPr>
        <sz val="10"/>
        <rFont val="Calibri"/>
        <family val="2"/>
      </rPr>
      <t xml:space="preserve">20%, </t>
    </r>
    <r>
      <rPr>
        <b/>
        <sz val="12"/>
        <rFont val="Calibri"/>
        <family val="2"/>
      </rPr>
      <t>-</t>
    </r>
    <r>
      <rPr>
        <sz val="10"/>
        <rFont val="Calibri"/>
        <family val="2"/>
      </rPr>
      <t xml:space="preserve">25%) </t>
    </r>
    <r>
      <rPr>
        <b/>
        <sz val="10"/>
        <color indexed="8"/>
        <rFont val="Calibri"/>
        <family val="2"/>
      </rPr>
      <t xml:space="preserve">* </t>
    </r>
    <r>
      <rPr>
        <sz val="10"/>
        <color indexed="8"/>
        <rFont val="Calibri"/>
        <family val="2"/>
      </rPr>
      <t xml:space="preserve"> (PTLR)</t>
    </r>
  </si>
  <si>
    <r>
      <t xml:space="preserve">= CEER ( </t>
    </r>
    <r>
      <rPr>
        <b/>
        <sz val="12"/>
        <color indexed="8"/>
        <rFont val="Calibri"/>
        <family val="2"/>
      </rPr>
      <t>-</t>
    </r>
    <r>
      <rPr>
        <sz val="10"/>
        <color indexed="8"/>
        <rFont val="Calibri"/>
        <family val="2"/>
      </rPr>
      <t xml:space="preserve"> $0.30 )</t>
    </r>
  </si>
  <si>
    <r>
      <t xml:space="preserve">= IF (PDMO&lt;07/01/2007 then </t>
    </r>
    <r>
      <rPr>
        <b/>
        <sz val="12"/>
        <color indexed="8"/>
        <rFont val="Calibri"/>
        <family val="2"/>
      </rPr>
      <t>-</t>
    </r>
    <r>
      <rPr>
        <sz val="10"/>
        <color indexed="8"/>
        <rFont val="Calibri"/>
        <family val="2"/>
      </rPr>
      <t xml:space="preserve"> 20%, else </t>
    </r>
    <r>
      <rPr>
        <b/>
        <sz val="12"/>
        <color indexed="8"/>
        <rFont val="Calibri"/>
        <family val="2"/>
      </rPr>
      <t>-</t>
    </r>
    <r>
      <rPr>
        <sz val="10"/>
        <color indexed="8"/>
        <rFont val="Calibri"/>
        <family val="2"/>
      </rPr>
      <t xml:space="preserve"> 25%)</t>
    </r>
  </si>
  <si>
    <r>
      <t xml:space="preserve">= </t>
    </r>
    <r>
      <rPr>
        <b/>
        <sz val="12"/>
        <rFont val="Calibri"/>
        <family val="2"/>
      </rPr>
      <t>-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(PTPIR </t>
    </r>
    <r>
      <rPr>
        <b/>
        <sz val="10"/>
        <rFont val="Calibri"/>
        <family val="2"/>
      </rPr>
      <t>*</t>
    </r>
    <r>
      <rPr>
        <sz val="10"/>
        <rFont val="Calibri"/>
        <family val="2"/>
      </rPr>
      <t xml:space="preserve"> PTNR)</t>
    </r>
  </si>
  <si>
    <r>
      <t xml:space="preserve">=IF (GVPOP &gt; 0, 0, </t>
    </r>
    <r>
      <rPr>
        <b/>
        <sz val="12"/>
        <rFont val="Calibri"/>
        <family val="2"/>
      </rPr>
      <t>-</t>
    </r>
    <r>
      <rPr>
        <sz val="10"/>
        <rFont val="Calibri"/>
        <family val="2"/>
      </rPr>
      <t xml:space="preserve"> GVPOP </t>
    </r>
    <r>
      <rPr>
        <b/>
        <sz val="10"/>
        <rFont val="Calibri"/>
        <family val="2"/>
      </rPr>
      <t>*</t>
    </r>
    <r>
      <rPr>
        <sz val="10"/>
        <rFont val="Calibri"/>
        <family val="2"/>
      </rPr>
      <t xml:space="preserve"> PTMTR)</t>
    </r>
  </si>
  <si>
    <t xml:space="preserve"> =IF TWIO OR TOI (PR) do not equal 0 and PTNR &gt; 0, then PTNR,  else 0</t>
  </si>
  <si>
    <t>ALASKA DNR - OIL &amp; GAS  V 1.201212</t>
  </si>
  <si>
    <t>000012345N12201200</t>
  </si>
  <si>
    <t>= IF TWIO OR TOI (PR) does not equal zero, then 0 , else PTNR</t>
  </si>
  <si>
    <t>= IF( TWIO = 0 AND TOI(PR) = 0, 0, IF (PTNR &gt; 0, 0, - BTR * PTNR * NPDF))</t>
  </si>
  <si>
    <t>Revised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</si>
</sst>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0.0%"/>
    <numFmt numFmtId="167" formatCode="0.000"/>
    <numFmt numFmtId="168" formatCode="[$-409]mmm\-yy;@"/>
    <numFmt numFmtId="169" formatCode="0.0000000"/>
    <numFmt numFmtId="170" formatCode="&quot;$&quot;#,##0.00000"/>
    <numFmt numFmtId="171" formatCode="#,##0.00000"/>
    <numFmt numFmtId="172" formatCode="0.00000%"/>
    <numFmt numFmtId="173" formatCode="0.00000"/>
    <numFmt numFmtId="174" formatCode="#,##0.00000_);\(#,##0.00000\)"/>
    <numFmt numFmtId="175" formatCode="0.0"/>
    <numFmt numFmtId="176" formatCode="&quot;$&quot;#,##0.00000_);[Red]\(&quot;$&quot;#,##0.00000\)"/>
    <numFmt numFmtId="177" formatCode="#,##0.00000_);[Red]\(#,##0.00000\)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i/>
      <u/>
      <sz val="10"/>
      <name val="Cambria"/>
      <family val="1"/>
    </font>
    <font>
      <i/>
      <sz val="10"/>
      <color indexed="23"/>
      <name val="Cambria"/>
      <family val="1"/>
    </font>
    <font>
      <i/>
      <u val="double"/>
      <sz val="10"/>
      <color indexed="60"/>
      <name val="Cambria"/>
      <family val="1"/>
    </font>
    <font>
      <b/>
      <i/>
      <sz val="10"/>
      <color indexed="17"/>
      <name val="Cambria"/>
      <family val="1"/>
    </font>
    <font>
      <i/>
      <u/>
      <sz val="10"/>
      <color indexed="8"/>
      <name val="Cambria"/>
      <family val="1"/>
    </font>
    <font>
      <i/>
      <u/>
      <sz val="10"/>
      <color indexed="60"/>
      <name val="Cambria"/>
      <family val="1"/>
    </font>
    <font>
      <u/>
      <sz val="10"/>
      <color indexed="60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vertAlign val="subscript"/>
      <sz val="16"/>
      <name val="Calibri"/>
      <family val="2"/>
    </font>
    <font>
      <sz val="12"/>
      <name val="Calibri"/>
      <family val="2"/>
    </font>
    <font>
      <i/>
      <sz val="10"/>
      <name val="Cambria"/>
      <family val="1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80008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theme="5" tint="-0.249977111117893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0" tint="-0.499984740745262"/>
      <name val="Cambria"/>
      <family val="1"/>
    </font>
    <font>
      <i/>
      <sz val="10"/>
      <color theme="1" tint="0.34998626667073579"/>
      <name val="Cambria"/>
      <family val="1"/>
    </font>
    <font>
      <b/>
      <i/>
      <u/>
      <sz val="10"/>
      <color theme="8" tint="-0.249977111117893"/>
      <name val="Cambria"/>
      <family val="1"/>
      <scheme val="major"/>
    </font>
    <font>
      <i/>
      <sz val="10"/>
      <color theme="1" tint="0.34998626667073579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40" fontId="12" fillId="0" borderId="0" applyFont="0" applyFill="0" applyBorder="0" applyAlignment="0" applyProtection="0"/>
    <xf numFmtId="0" fontId="34" fillId="4" borderId="32" applyNumberFormat="0" applyAlignment="0" applyProtection="0"/>
    <xf numFmtId="0" fontId="12" fillId="0" borderId="0"/>
    <xf numFmtId="0" fontId="3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37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4" fillId="3" borderId="0" xfId="0" applyFont="1" applyFill="1" applyProtection="1"/>
    <xf numFmtId="0" fontId="5" fillId="2" borderId="0" xfId="0" applyFont="1" applyFill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9" fillId="5" borderId="0" xfId="0" applyFont="1" applyFill="1" applyProtection="1"/>
    <xf numFmtId="0" fontId="4" fillId="5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0" xfId="0" applyFont="1" applyFill="1" applyProtection="1"/>
    <xf numFmtId="0" fontId="2" fillId="7" borderId="0" xfId="0" applyFont="1" applyFill="1" applyProtection="1"/>
    <xf numFmtId="0" fontId="3" fillId="7" borderId="0" xfId="0" applyFont="1" applyFill="1" applyProtection="1"/>
    <xf numFmtId="0" fontId="0" fillId="7" borderId="0" xfId="0" applyFill="1"/>
    <xf numFmtId="0" fontId="4" fillId="7" borderId="0" xfId="0" applyFont="1" applyFill="1" applyProtection="1"/>
    <xf numFmtId="0" fontId="35" fillId="0" borderId="0" xfId="4" applyFill="1"/>
    <xf numFmtId="0" fontId="35" fillId="0" borderId="0" xfId="4"/>
    <xf numFmtId="0" fontId="38" fillId="0" borderId="0" xfId="4" applyFont="1" applyAlignment="1">
      <alignment horizontal="left"/>
    </xf>
    <xf numFmtId="0" fontId="6" fillId="0" borderId="0" xfId="4" applyFont="1" applyBorder="1" applyAlignment="1" applyProtection="1">
      <alignment horizontal="center" vertical="center"/>
    </xf>
    <xf numFmtId="0" fontId="6" fillId="0" borderId="0" xfId="4" applyFont="1" applyFill="1" applyAlignment="1" applyProtection="1">
      <alignment horizontal="center" vertical="center"/>
    </xf>
    <xf numFmtId="0" fontId="5" fillId="2" borderId="0" xfId="4" applyFont="1" applyFill="1" applyProtection="1"/>
    <xf numFmtId="0" fontId="2" fillId="2" borderId="0" xfId="4" applyFont="1" applyFill="1" applyAlignment="1" applyProtection="1">
      <alignment horizontal="center"/>
    </xf>
    <xf numFmtId="0" fontId="2" fillId="2" borderId="0" xfId="4" applyFont="1" applyFill="1" applyProtection="1"/>
    <xf numFmtId="0" fontId="5" fillId="5" borderId="0" xfId="4" applyFont="1" applyFill="1" applyProtection="1"/>
    <xf numFmtId="0" fontId="4" fillId="5" borderId="0" xfId="4" applyFont="1" applyFill="1" applyAlignment="1" applyProtection="1">
      <alignment horizontal="center"/>
    </xf>
    <xf numFmtId="0" fontId="2" fillId="8" borderId="0" xfId="8" applyNumberFormat="1" applyFont="1" applyFill="1" applyBorder="1" applyAlignment="1" applyProtection="1">
      <alignment horizontal="center"/>
      <protection locked="0"/>
    </xf>
    <xf numFmtId="0" fontId="4" fillId="5" borderId="0" xfId="4" applyFont="1" applyFill="1" applyProtection="1"/>
    <xf numFmtId="9" fontId="34" fillId="0" borderId="0" xfId="2" applyNumberFormat="1" applyFill="1" applyBorder="1"/>
    <xf numFmtId="165" fontId="34" fillId="0" borderId="0" xfId="2" applyNumberFormat="1" applyFill="1" applyBorder="1"/>
    <xf numFmtId="10" fontId="34" fillId="0" borderId="0" xfId="2" applyNumberFormat="1" applyFill="1" applyBorder="1"/>
    <xf numFmtId="0" fontId="4" fillId="3" borderId="0" xfId="4" applyFont="1" applyFill="1" applyProtection="1"/>
    <xf numFmtId="0" fontId="4" fillId="3" borderId="0" xfId="4" applyFont="1" applyFill="1" applyAlignment="1" applyProtection="1">
      <alignment horizontal="center"/>
    </xf>
    <xf numFmtId="0" fontId="35" fillId="0" borderId="0" xfId="3" applyFont="1" applyFill="1"/>
    <xf numFmtId="0" fontId="3" fillId="3" borderId="1" xfId="4" applyFont="1" applyFill="1" applyBorder="1" applyAlignment="1" applyProtection="1">
      <alignment horizontal="center" vertical="top" wrapText="1"/>
    </xf>
    <xf numFmtId="0" fontId="36" fillId="9" borderId="4" xfId="3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Fill="1" applyBorder="1" applyAlignment="1">
      <alignment horizontal="center" wrapText="1"/>
    </xf>
    <xf numFmtId="0" fontId="35" fillId="0" borderId="0" xfId="4" applyBorder="1"/>
    <xf numFmtId="0" fontId="39" fillId="0" borderId="0" xfId="3" applyFont="1" applyFill="1" applyBorder="1" applyAlignment="1">
      <alignment horizontal="center" vertical="center" wrapText="1"/>
    </xf>
    <xf numFmtId="0" fontId="35" fillId="0" borderId="0" xfId="3" applyFont="1" applyFill="1" applyBorder="1"/>
    <xf numFmtId="0" fontId="36" fillId="0" borderId="0" xfId="3" applyFont="1" applyFill="1" applyBorder="1" applyAlignment="1">
      <alignment horizontal="center"/>
    </xf>
    <xf numFmtId="0" fontId="35" fillId="0" borderId="0" xfId="3" applyFont="1"/>
    <xf numFmtId="0" fontId="35" fillId="0" borderId="0" xfId="4" applyAlignment="1">
      <alignment vertical="center"/>
    </xf>
    <xf numFmtId="9" fontId="34" fillId="0" borderId="0" xfId="2" applyNumberFormat="1" applyFill="1" applyBorder="1" applyAlignment="1">
      <alignment vertical="center"/>
    </xf>
    <xf numFmtId="0" fontId="35" fillId="0" borderId="0" xfId="3" applyFont="1" applyFill="1" applyAlignment="1">
      <alignment vertical="center"/>
    </xf>
    <xf numFmtId="0" fontId="35" fillId="0" borderId="0" xfId="4" applyFont="1"/>
    <xf numFmtId="0" fontId="6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horizontal="right" vertical="center"/>
    </xf>
    <xf numFmtId="0" fontId="2" fillId="2" borderId="0" xfId="5" applyFont="1" applyFill="1" applyProtection="1"/>
    <xf numFmtId="0" fontId="2" fillId="2" borderId="0" xfId="5" applyFont="1" applyFill="1" applyAlignment="1" applyProtection="1">
      <alignment horizontal="center"/>
    </xf>
    <xf numFmtId="0" fontId="5" fillId="2" borderId="0" xfId="5" applyFont="1" applyFill="1" applyProtection="1"/>
    <xf numFmtId="0" fontId="4" fillId="2" borderId="0" xfId="5" applyFont="1" applyFill="1" applyProtection="1"/>
    <xf numFmtId="0" fontId="5" fillId="3" borderId="1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 vertical="top" wrapText="1"/>
    </xf>
    <xf numFmtId="0" fontId="2" fillId="0" borderId="5" xfId="6" applyFont="1" applyBorder="1" applyAlignment="1" applyProtection="1">
      <alignment horizontal="center"/>
      <protection locked="0"/>
    </xf>
    <xf numFmtId="0" fontId="2" fillId="0" borderId="6" xfId="8" applyFont="1" applyBorder="1" applyAlignment="1" applyProtection="1">
      <alignment horizontal="center"/>
      <protection locked="0"/>
    </xf>
    <xf numFmtId="1" fontId="2" fillId="0" borderId="6" xfId="8" applyNumberFormat="1" applyFont="1" applyBorder="1" applyAlignment="1" applyProtection="1">
      <alignment horizontal="center"/>
      <protection locked="0"/>
    </xf>
    <xf numFmtId="0" fontId="2" fillId="0" borderId="6" xfId="5" applyFont="1" applyBorder="1" applyAlignment="1" applyProtection="1">
      <alignment horizontal="center"/>
      <protection locked="0"/>
    </xf>
    <xf numFmtId="0" fontId="5" fillId="2" borderId="6" xfId="5" quotePrefix="1" applyFont="1" applyFill="1" applyBorder="1" applyAlignment="1">
      <alignment horizontal="center"/>
    </xf>
    <xf numFmtId="0" fontId="2" fillId="2" borderId="6" xfId="5" quotePrefix="1" applyFont="1" applyFill="1" applyBorder="1" applyAlignment="1">
      <alignment horizontal="center"/>
    </xf>
    <xf numFmtId="0" fontId="2" fillId="0" borderId="6" xfId="5" quotePrefix="1" applyFont="1" applyBorder="1" applyAlignment="1" applyProtection="1">
      <alignment horizontal="center"/>
      <protection locked="0"/>
    </xf>
    <xf numFmtId="0" fontId="2" fillId="0" borderId="6" xfId="5" applyFont="1" applyFill="1" applyBorder="1" applyAlignment="1" applyProtection="1">
      <alignment horizontal="center"/>
      <protection locked="0"/>
    </xf>
    <xf numFmtId="0" fontId="2" fillId="0" borderId="6" xfId="5" quotePrefix="1" applyFont="1" applyFill="1" applyBorder="1" applyAlignment="1" applyProtection="1">
      <alignment horizontal="center"/>
      <protection locked="0"/>
    </xf>
    <xf numFmtId="1" fontId="2" fillId="0" borderId="6" xfId="8" applyNumberFormat="1" applyFont="1" applyFill="1" applyBorder="1" applyAlignment="1" applyProtection="1">
      <alignment horizontal="center"/>
      <protection locked="0"/>
    </xf>
    <xf numFmtId="1" fontId="2" fillId="0" borderId="6" xfId="6" applyNumberFormat="1" applyFont="1" applyBorder="1" applyAlignment="1" applyProtection="1">
      <alignment horizontal="center"/>
      <protection locked="0"/>
    </xf>
    <xf numFmtId="0" fontId="2" fillId="0" borderId="6" xfId="6" applyFont="1" applyBorder="1" applyAlignment="1" applyProtection="1">
      <alignment horizontal="center"/>
      <protection locked="0"/>
    </xf>
    <xf numFmtId="0" fontId="2" fillId="0" borderId="6" xfId="8" applyFont="1" applyFill="1" applyBorder="1" applyAlignment="1" applyProtection="1">
      <alignment horizontal="center"/>
      <protection locked="0"/>
    </xf>
    <xf numFmtId="1" fontId="2" fillId="0" borderId="6" xfId="6" applyNumberFormat="1" applyFont="1" applyFill="1" applyBorder="1" applyAlignment="1" applyProtection="1">
      <alignment horizontal="center"/>
      <protection locked="0"/>
    </xf>
    <xf numFmtId="0" fontId="2" fillId="0" borderId="6" xfId="6" applyFont="1" applyFill="1" applyBorder="1" applyAlignment="1" applyProtection="1">
      <alignment horizontal="center"/>
      <protection locked="0"/>
    </xf>
    <xf numFmtId="0" fontId="2" fillId="0" borderId="0" xfId="5" applyFont="1" applyProtection="1">
      <protection locked="0"/>
    </xf>
    <xf numFmtId="0" fontId="2" fillId="0" borderId="0" xfId="5" applyFont="1" applyAlignment="1" applyProtection="1">
      <alignment horizontal="right"/>
      <protection locked="0"/>
    </xf>
    <xf numFmtId="0" fontId="11" fillId="0" borderId="7" xfId="5" applyFont="1" applyBorder="1" applyProtection="1">
      <protection locked="0"/>
    </xf>
    <xf numFmtId="0" fontId="2" fillId="0" borderId="8" xfId="5" applyFont="1" applyBorder="1" applyProtection="1">
      <protection locked="0"/>
    </xf>
    <xf numFmtId="2" fontId="2" fillId="0" borderId="9" xfId="5" applyNumberFormat="1" applyFont="1" applyBorder="1" applyAlignment="1" applyProtection="1">
      <alignment horizontal="right"/>
      <protection locked="0"/>
    </xf>
    <xf numFmtId="0" fontId="2" fillId="0" borderId="10" xfId="5" applyFont="1" applyBorder="1" applyProtection="1">
      <protection locked="0"/>
    </xf>
    <xf numFmtId="0" fontId="2" fillId="0" borderId="0" xfId="5" applyFont="1" applyBorder="1" applyProtection="1">
      <protection locked="0"/>
    </xf>
    <xf numFmtId="0" fontId="2" fillId="0" borderId="11" xfId="5" applyFont="1" applyBorder="1" applyAlignment="1" applyProtection="1">
      <alignment horizontal="right"/>
      <protection locked="0"/>
    </xf>
    <xf numFmtId="0" fontId="26" fillId="8" borderId="10" xfId="8" quotePrefix="1" applyNumberFormat="1" applyFont="1" applyFill="1" applyBorder="1" applyAlignment="1" applyProtection="1">
      <alignment horizontal="left"/>
      <protection locked="0"/>
    </xf>
    <xf numFmtId="0" fontId="2" fillId="8" borderId="11" xfId="8" applyNumberFormat="1" applyFont="1" applyFill="1" applyBorder="1" applyAlignment="1" applyProtection="1">
      <alignment horizontal="center"/>
      <protection locked="0"/>
    </xf>
    <xf numFmtId="0" fontId="26" fillId="10" borderId="10" xfId="5" quotePrefix="1" applyNumberFormat="1" applyFont="1" applyFill="1" applyBorder="1" applyAlignment="1">
      <alignment horizontal="left"/>
    </xf>
    <xf numFmtId="44" fontId="2" fillId="10" borderId="0" xfId="5" applyNumberFormat="1" applyFont="1" applyFill="1" applyBorder="1" applyAlignment="1">
      <alignment horizontal="right"/>
    </xf>
    <xf numFmtId="44" fontId="2" fillId="10" borderId="11" xfId="5" applyNumberFormat="1" applyFont="1" applyFill="1" applyBorder="1" applyAlignment="1">
      <alignment horizontal="right"/>
    </xf>
    <xf numFmtId="0" fontId="26" fillId="11" borderId="10" xfId="8" quotePrefix="1" applyNumberFormat="1" applyFont="1" applyFill="1" applyBorder="1" applyAlignment="1" applyProtection="1">
      <alignment horizontal="left"/>
      <protection locked="0"/>
    </xf>
    <xf numFmtId="0" fontId="2" fillId="11" borderId="0" xfId="8" applyNumberFormat="1" applyFont="1" applyFill="1" applyBorder="1" applyProtection="1">
      <protection locked="0"/>
    </xf>
    <xf numFmtId="0" fontId="2" fillId="11" borderId="11" xfId="8" applyNumberFormat="1" applyFont="1" applyFill="1" applyBorder="1" applyProtection="1">
      <protection locked="0"/>
    </xf>
    <xf numFmtId="0" fontId="2" fillId="0" borderId="12" xfId="5" applyFont="1" applyBorder="1" applyProtection="1">
      <protection locked="0"/>
    </xf>
    <xf numFmtId="0" fontId="2" fillId="0" borderId="13" xfId="5" applyFont="1" applyBorder="1" applyProtection="1">
      <protection locked="0"/>
    </xf>
    <xf numFmtId="0" fontId="2" fillId="0" borderId="14" xfId="5" applyFont="1" applyBorder="1" applyAlignment="1" applyProtection="1">
      <alignment horizontal="right"/>
      <protection locked="0"/>
    </xf>
    <xf numFmtId="0" fontId="2" fillId="0" borderId="0" xfId="4" applyFont="1" applyAlignment="1" applyProtection="1">
      <alignment horizontal="center"/>
      <protection locked="0"/>
    </xf>
    <xf numFmtId="0" fontId="3" fillId="2" borderId="0" xfId="4" applyFont="1" applyFill="1" applyProtection="1"/>
    <xf numFmtId="0" fontId="2" fillId="7" borderId="0" xfId="4" applyFont="1" applyFill="1" applyProtection="1"/>
    <xf numFmtId="0" fontId="2" fillId="0" borderId="0" xfId="4" quotePrefix="1" applyFont="1" applyAlignment="1" applyProtection="1">
      <alignment horizontal="center"/>
      <protection locked="0"/>
    </xf>
    <xf numFmtId="14" fontId="2" fillId="0" borderId="0" xfId="4" applyNumberFormat="1" applyFont="1" applyAlignment="1" applyProtection="1">
      <alignment horizontal="center"/>
      <protection locked="0"/>
    </xf>
    <xf numFmtId="0" fontId="4" fillId="7" borderId="0" xfId="4" applyFont="1" applyFill="1" applyProtection="1"/>
    <xf numFmtId="1" fontId="2" fillId="0" borderId="6" xfId="6" quotePrefix="1" applyNumberFormat="1" applyFont="1" applyBorder="1" applyAlignment="1" applyProtection="1">
      <alignment horizontal="center"/>
      <protection locked="0"/>
    </xf>
    <xf numFmtId="49" fontId="2" fillId="0" borderId="6" xfId="5" quotePrefix="1" applyNumberFormat="1" applyFont="1" applyBorder="1" applyAlignment="1" applyProtection="1">
      <alignment horizontal="center"/>
      <protection locked="0"/>
    </xf>
    <xf numFmtId="0" fontId="2" fillId="2" borderId="6" xfId="6" applyFont="1" applyFill="1" applyBorder="1" applyAlignment="1">
      <alignment horizontal="center"/>
    </xf>
    <xf numFmtId="0" fontId="2" fillId="0" borderId="6" xfId="6" quotePrefix="1" applyFont="1" applyBorder="1" applyAlignment="1" applyProtection="1">
      <alignment horizontal="center"/>
      <protection locked="0"/>
    </xf>
    <xf numFmtId="1" fontId="2" fillId="0" borderId="6" xfId="8" quotePrefix="1" applyNumberFormat="1" applyFont="1" applyBorder="1" applyAlignment="1" applyProtection="1">
      <alignment horizontal="center"/>
      <protection locked="0"/>
    </xf>
    <xf numFmtId="1" fontId="2" fillId="0" borderId="6" xfId="6" quotePrefix="1" applyNumberFormat="1" applyFont="1" applyFill="1" applyBorder="1" applyAlignment="1" applyProtection="1">
      <alignment horizontal="center"/>
      <protection locked="0"/>
    </xf>
    <xf numFmtId="0" fontId="2" fillId="2" borderId="6" xfId="6" quotePrefix="1" applyFont="1" applyFill="1" applyBorder="1" applyAlignment="1">
      <alignment horizontal="center"/>
    </xf>
    <xf numFmtId="0" fontId="2" fillId="0" borderId="6" xfId="8" quotePrefix="1" applyFont="1" applyBorder="1" applyAlignment="1" applyProtection="1">
      <alignment horizontal="center"/>
      <protection locked="0"/>
    </xf>
    <xf numFmtId="165" fontId="2" fillId="0" borderId="0" xfId="5" applyNumberFormat="1" applyFont="1" applyFill="1" applyProtection="1">
      <protection locked="0"/>
    </xf>
    <xf numFmtId="0" fontId="2" fillId="0" borderId="0" xfId="5" applyFont="1" applyFill="1" applyProtection="1">
      <protection locked="0"/>
    </xf>
    <xf numFmtId="169" fontId="2" fillId="0" borderId="0" xfId="5" applyNumberFormat="1" applyFont="1" applyAlignment="1" applyProtection="1">
      <alignment horizontal="right"/>
      <protection locked="0"/>
    </xf>
    <xf numFmtId="0" fontId="11" fillId="0" borderId="8" xfId="5" applyFont="1" applyBorder="1" applyProtection="1">
      <protection locked="0"/>
    </xf>
    <xf numFmtId="0" fontId="26" fillId="8" borderId="0" xfId="8" quotePrefix="1" applyNumberFormat="1" applyFont="1" applyFill="1" applyBorder="1" applyAlignment="1" applyProtection="1">
      <alignment horizontal="left"/>
      <protection locked="0"/>
    </xf>
    <xf numFmtId="0" fontId="26" fillId="10" borderId="0" xfId="5" quotePrefix="1" applyNumberFormat="1" applyFont="1" applyFill="1" applyBorder="1" applyAlignment="1">
      <alignment horizontal="left"/>
    </xf>
    <xf numFmtId="0" fontId="26" fillId="11" borderId="0" xfId="8" quotePrefix="1" applyNumberFormat="1" applyFont="1" applyFill="1" applyBorder="1" applyAlignment="1" applyProtection="1">
      <alignment horizontal="left"/>
      <protection locked="0"/>
    </xf>
    <xf numFmtId="43" fontId="40" fillId="12" borderId="1" xfId="1" applyNumberFormat="1" applyFont="1" applyFill="1" applyBorder="1"/>
    <xf numFmtId="164" fontId="2" fillId="0" borderId="0" xfId="4" applyNumberFormat="1" applyFont="1" applyAlignment="1" applyProtection="1">
      <alignment horizontal="center"/>
      <protection locked="0"/>
    </xf>
    <xf numFmtId="164" fontId="2" fillId="8" borderId="0" xfId="8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37" fillId="6" borderId="4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35" fillId="0" borderId="0" xfId="4" applyAlignment="1">
      <alignment horizontal="center"/>
    </xf>
    <xf numFmtId="0" fontId="35" fillId="0" borderId="0" xfId="3" applyFont="1" applyAlignment="1">
      <alignment horizontal="center" vertical="center"/>
    </xf>
    <xf numFmtId="0" fontId="35" fillId="0" borderId="0" xfId="4" applyFill="1" applyAlignment="1">
      <alignment horizontal="center"/>
    </xf>
    <xf numFmtId="9" fontId="34" fillId="0" borderId="0" xfId="2" applyNumberFormat="1" applyFill="1" applyBorder="1" applyAlignment="1">
      <alignment horizontal="center"/>
    </xf>
    <xf numFmtId="9" fontId="34" fillId="0" borderId="0" xfId="2" applyNumberForma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/>
    </xf>
    <xf numFmtId="4" fontId="2" fillId="0" borderId="6" xfId="8" applyNumberFormat="1" applyFont="1" applyBorder="1" applyProtection="1">
      <protection locked="0"/>
    </xf>
    <xf numFmtId="4" fontId="2" fillId="8" borderId="6" xfId="8" applyNumberFormat="1" applyFont="1" applyFill="1" applyBorder="1" applyProtection="1">
      <protection locked="0"/>
    </xf>
    <xf numFmtId="4" fontId="2" fillId="0" borderId="6" xfId="8" applyNumberFormat="1" applyFont="1" applyFill="1" applyBorder="1" applyProtection="1">
      <protection locked="0"/>
    </xf>
    <xf numFmtId="171" fontId="2" fillId="0" borderId="6" xfId="8" applyNumberFormat="1" applyFont="1" applyBorder="1" applyProtection="1">
      <protection locked="0"/>
    </xf>
    <xf numFmtId="171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65" fontId="41" fillId="12" borderId="1" xfId="3" applyNumberFormat="1" applyFont="1" applyFill="1" applyBorder="1" applyAlignment="1">
      <alignment vertical="center"/>
    </xf>
    <xf numFmtId="4" fontId="40" fillId="0" borderId="15" xfId="3" applyNumberFormat="1" applyFont="1" applyFill="1" applyBorder="1" applyAlignment="1">
      <alignment horizontal="right"/>
    </xf>
    <xf numFmtId="4" fontId="40" fillId="0" borderId="3" xfId="3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15" xfId="0" applyNumberFormat="1" applyBorder="1"/>
    <xf numFmtId="172" fontId="40" fillId="0" borderId="3" xfId="3" applyNumberFormat="1" applyFont="1" applyFill="1" applyBorder="1" applyAlignment="1">
      <alignment horizontal="center"/>
    </xf>
    <xf numFmtId="0" fontId="42" fillId="12" borderId="1" xfId="3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 applyProtection="1">
      <alignment horizontal="center"/>
      <protection locked="0"/>
    </xf>
    <xf numFmtId="172" fontId="2" fillId="0" borderId="0" xfId="8" applyNumberFormat="1" applyFont="1" applyBorder="1" applyProtection="1">
      <protection locked="0"/>
    </xf>
    <xf numFmtId="172" fontId="2" fillId="0" borderId="6" xfId="8" applyNumberFormat="1" applyFont="1" applyBorder="1" applyProtection="1">
      <protection locked="0"/>
    </xf>
    <xf numFmtId="172" fontId="2" fillId="0" borderId="6" xfId="8" applyNumberFormat="1" applyFont="1" applyFill="1" applyBorder="1" applyProtection="1">
      <protection locked="0"/>
    </xf>
    <xf numFmtId="173" fontId="0" fillId="0" borderId="15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40" fillId="0" borderId="3" xfId="3" applyNumberFormat="1" applyFont="1" applyFill="1" applyBorder="1" applyAlignment="1">
      <alignment horizontal="center"/>
    </xf>
    <xf numFmtId="174" fontId="41" fillId="12" borderId="1" xfId="3" applyNumberFormat="1" applyFont="1" applyFill="1" applyBorder="1" applyAlignment="1">
      <alignment horizontal="center"/>
    </xf>
    <xf numFmtId="176" fontId="35" fillId="12" borderId="1" xfId="3" applyNumberFormat="1" applyFont="1" applyFill="1" applyBorder="1" applyAlignment="1">
      <alignment horizontal="center" vertical="center"/>
    </xf>
    <xf numFmtId="172" fontId="34" fillId="4" borderId="1" xfId="2" applyNumberFormat="1" applyBorder="1"/>
    <xf numFmtId="175" fontId="2" fillId="0" borderId="0" xfId="0" applyNumberFormat="1" applyFont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center"/>
    </xf>
    <xf numFmtId="4" fontId="40" fillId="13" borderId="3" xfId="3" applyNumberFormat="1" applyFont="1" applyFill="1" applyBorder="1" applyAlignment="1">
      <alignment horizontal="right"/>
    </xf>
    <xf numFmtId="0" fontId="2" fillId="13" borderId="5" xfId="6" applyFont="1" applyFill="1" applyBorder="1" applyAlignment="1" applyProtection="1">
      <alignment horizontal="center"/>
      <protection locked="0"/>
    </xf>
    <xf numFmtId="0" fontId="2" fillId="13" borderId="6" xfId="6" applyFont="1" applyFill="1" applyBorder="1" applyAlignment="1" applyProtection="1">
      <alignment horizontal="center"/>
      <protection locked="0"/>
    </xf>
    <xf numFmtId="0" fontId="2" fillId="13" borderId="6" xfId="8" applyFont="1" applyFill="1" applyBorder="1" applyAlignment="1" applyProtection="1">
      <alignment horizontal="center"/>
      <protection locked="0"/>
    </xf>
    <xf numFmtId="4" fontId="2" fillId="13" borderId="6" xfId="8" applyNumberFormat="1" applyFont="1" applyFill="1" applyBorder="1" applyProtection="1">
      <protection locked="0"/>
    </xf>
    <xf numFmtId="0" fontId="2" fillId="14" borderId="6" xfId="6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173" fontId="40" fillId="13" borderId="3" xfId="3" applyNumberFormat="1" applyFont="1" applyFill="1" applyBorder="1" applyAlignment="1">
      <alignment horizontal="center"/>
    </xf>
    <xf numFmtId="172" fontId="40" fillId="13" borderId="3" xfId="3" applyNumberFormat="1" applyFont="1" applyFill="1" applyBorder="1" applyAlignment="1">
      <alignment horizontal="center"/>
    </xf>
    <xf numFmtId="170" fontId="34" fillId="15" borderId="1" xfId="2" applyNumberFormat="1" applyFont="1" applyFill="1" applyBorder="1"/>
    <xf numFmtId="0" fontId="43" fillId="0" borderId="0" xfId="4" applyFont="1" applyFill="1" applyAlignment="1">
      <alignment horizontal="left"/>
    </xf>
    <xf numFmtId="0" fontId="43" fillId="0" borderId="0" xfId="4" applyFont="1" applyFill="1"/>
    <xf numFmtId="0" fontId="0" fillId="0" borderId="0" xfId="0" applyFill="1"/>
    <xf numFmtId="1" fontId="2" fillId="0" borderId="6" xfId="8" quotePrefix="1" applyNumberFormat="1" applyFont="1" applyFill="1" applyBorder="1" applyAlignment="1" applyProtection="1">
      <alignment horizontal="center"/>
      <protection locked="0"/>
    </xf>
    <xf numFmtId="165" fontId="43" fillId="0" borderId="0" xfId="4" applyNumberFormat="1" applyFont="1" applyFill="1" applyAlignment="1">
      <alignment horizontal="left"/>
    </xf>
    <xf numFmtId="0" fontId="35" fillId="0" borderId="0" xfId="4" quotePrefix="1"/>
    <xf numFmtId="177" fontId="2" fillId="0" borderId="6" xfId="8" applyNumberFormat="1" applyFont="1" applyBorder="1" applyProtection="1">
      <protection locked="0"/>
    </xf>
    <xf numFmtId="177" fontId="2" fillId="0" borderId="6" xfId="8" applyNumberFormat="1" applyFont="1" applyFill="1" applyBorder="1" applyProtection="1">
      <protection locked="0"/>
    </xf>
    <xf numFmtId="177" fontId="2" fillId="8" borderId="6" xfId="8" applyNumberFormat="1" applyFont="1" applyFill="1" applyBorder="1" applyProtection="1">
      <protection locked="0"/>
    </xf>
    <xf numFmtId="177" fontId="2" fillId="13" borderId="6" xfId="8" applyNumberFormat="1" applyFont="1" applyFill="1" applyBorder="1" applyProtection="1">
      <protection locked="0"/>
    </xf>
    <xf numFmtId="40" fontId="2" fillId="0" borderId="6" xfId="8" applyNumberFormat="1" applyFont="1" applyFill="1" applyBorder="1" applyProtection="1">
      <protection locked="0"/>
    </xf>
    <xf numFmtId="40" fontId="2" fillId="8" borderId="6" xfId="8" applyNumberFormat="1" applyFont="1" applyFill="1" applyBorder="1" applyProtection="1">
      <protection locked="0"/>
    </xf>
    <xf numFmtId="40" fontId="2" fillId="11" borderId="6" xfId="8" applyNumberFormat="1" applyFont="1" applyFill="1" applyBorder="1" applyProtection="1">
      <protection locked="0"/>
    </xf>
    <xf numFmtId="40" fontId="2" fillId="10" borderId="6" xfId="8" applyNumberFormat="1" applyFont="1" applyFill="1" applyBorder="1" applyProtection="1">
      <protection locked="0"/>
    </xf>
    <xf numFmtId="0" fontId="2" fillId="0" borderId="1" xfId="5" applyFont="1" applyFill="1" applyBorder="1" applyAlignment="1" applyProtection="1">
      <alignment horizontal="center"/>
      <protection locked="0"/>
    </xf>
    <xf numFmtId="0" fontId="35" fillId="0" borderId="1" xfId="3" applyFont="1" applyBorder="1" applyAlignment="1">
      <alignment horizontal="center"/>
    </xf>
    <xf numFmtId="0" fontId="41" fillId="0" borderId="1" xfId="3" applyFont="1" applyBorder="1"/>
    <xf numFmtId="0" fontId="41" fillId="0" borderId="1" xfId="3" applyFont="1" applyBorder="1" applyAlignment="1">
      <alignment horizontal="center"/>
    </xf>
    <xf numFmtId="8" fontId="41" fillId="0" borderId="1" xfId="3" applyNumberFormat="1" applyFont="1" applyFill="1" applyBorder="1"/>
    <xf numFmtId="0" fontId="35" fillId="0" borderId="1" xfId="3" applyFont="1" applyFill="1" applyBorder="1" applyAlignment="1">
      <alignment horizontal="center"/>
    </xf>
    <xf numFmtId="0" fontId="41" fillId="0" borderId="1" xfId="3" applyFont="1" applyFill="1" applyBorder="1" applyAlignment="1">
      <alignment horizontal="left"/>
    </xf>
    <xf numFmtId="0" fontId="41" fillId="0" borderId="1" xfId="3" applyFont="1" applyFill="1" applyBorder="1" applyAlignment="1">
      <alignment horizontal="center" wrapText="1"/>
    </xf>
    <xf numFmtId="165" fontId="41" fillId="0" borderId="1" xfId="3" applyNumberFormat="1" applyFont="1" applyFill="1" applyBorder="1"/>
    <xf numFmtId="172" fontId="41" fillId="0" borderId="1" xfId="3" applyNumberFormat="1" applyFont="1" applyFill="1" applyBorder="1" applyAlignment="1">
      <alignment horizontal="center"/>
    </xf>
    <xf numFmtId="0" fontId="41" fillId="0" borderId="1" xfId="3" quotePrefix="1" applyFont="1" applyFill="1" applyBorder="1" applyAlignment="1">
      <alignment horizontal="left"/>
    </xf>
    <xf numFmtId="0" fontId="41" fillId="0" borderId="1" xfId="3" applyFont="1" applyFill="1" applyBorder="1"/>
    <xf numFmtId="0" fontId="8" fillId="0" borderId="1" xfId="3" applyFont="1" applyBorder="1" applyAlignment="1">
      <alignment horizontal="center" wrapText="1"/>
    </xf>
    <xf numFmtId="0" fontId="41" fillId="0" borderId="1" xfId="3" quotePrefix="1" applyFont="1" applyFill="1" applyBorder="1" applyAlignment="1">
      <alignment horizontal="center" wrapText="1"/>
    </xf>
    <xf numFmtId="0" fontId="8" fillId="0" borderId="1" xfId="3" applyFont="1" applyBorder="1" applyAlignment="1">
      <alignment horizontal="center"/>
    </xf>
    <xf numFmtId="0" fontId="40" fillId="0" borderId="1" xfId="3" applyFont="1" applyFill="1" applyBorder="1" applyAlignment="1">
      <alignment horizontal="left" wrapText="1"/>
    </xf>
    <xf numFmtId="165" fontId="41" fillId="0" borderId="1" xfId="3" applyNumberFormat="1" applyFont="1" applyBorder="1"/>
    <xf numFmtId="0" fontId="8" fillId="0" borderId="1" xfId="3" applyFont="1" applyBorder="1" applyAlignment="1">
      <alignment horizontal="center" vertical="top"/>
    </xf>
    <xf numFmtId="0" fontId="41" fillId="0" borderId="1" xfId="3" quotePrefix="1" applyFont="1" applyFill="1" applyBorder="1" applyAlignment="1">
      <alignment horizontal="left" wrapText="1"/>
    </xf>
    <xf numFmtId="0" fontId="41" fillId="0" borderId="1" xfId="3" quotePrefix="1" applyFont="1" applyBorder="1" applyAlignment="1">
      <alignment horizontal="center"/>
    </xf>
    <xf numFmtId="0" fontId="41" fillId="0" borderId="1" xfId="3" applyFont="1" applyFill="1" applyBorder="1" applyAlignment="1">
      <alignment horizontal="left" wrapText="1"/>
    </xf>
    <xf numFmtId="165" fontId="41" fillId="13" borderId="1" xfId="3" applyNumberFormat="1" applyFont="1" applyFill="1" applyBorder="1"/>
    <xf numFmtId="8" fontId="41" fillId="13" borderId="1" xfId="3" applyNumberFormat="1" applyFont="1" applyFill="1" applyBorder="1"/>
    <xf numFmtId="0" fontId="40" fillId="0" borderId="1" xfId="3" quotePrefix="1" applyFont="1" applyFill="1" applyBorder="1" applyAlignment="1">
      <alignment horizontal="left" wrapText="1"/>
    </xf>
    <xf numFmtId="0" fontId="41" fillId="0" borderId="1" xfId="3" quotePrefix="1" applyFont="1" applyFill="1" applyBorder="1" applyAlignment="1">
      <alignment horizontal="center"/>
    </xf>
    <xf numFmtId="0" fontId="41" fillId="0" borderId="1" xfId="3" applyFont="1" applyFill="1" applyBorder="1" applyAlignment="1">
      <alignment horizontal="center"/>
    </xf>
    <xf numFmtId="0" fontId="22" fillId="0" borderId="1" xfId="3" applyFont="1" applyBorder="1" applyAlignment="1">
      <alignment wrapText="1"/>
    </xf>
    <xf numFmtId="0" fontId="22" fillId="0" borderId="1" xfId="3" applyFont="1" applyFill="1" applyBorder="1" applyAlignment="1">
      <alignment wrapText="1"/>
    </xf>
    <xf numFmtId="0" fontId="41" fillId="13" borderId="1" xfId="3" quotePrefix="1" applyFont="1" applyFill="1" applyBorder="1" applyAlignment="1">
      <alignment horizontal="center"/>
    </xf>
    <xf numFmtId="0" fontId="41" fillId="13" borderId="1" xfId="3" applyFont="1" applyFill="1" applyBorder="1" applyAlignment="1">
      <alignment horizontal="center"/>
    </xf>
    <xf numFmtId="43" fontId="41" fillId="13" borderId="1" xfId="1" applyNumberFormat="1" applyFont="1" applyFill="1" applyBorder="1"/>
    <xf numFmtId="0" fontId="40" fillId="0" borderId="1" xfId="3" applyFont="1" applyBorder="1" applyAlignment="1">
      <alignment wrapText="1"/>
    </xf>
    <xf numFmtId="43" fontId="41" fillId="0" borderId="1" xfId="1" applyNumberFormat="1" applyFont="1" applyFill="1" applyBorder="1"/>
    <xf numFmtId="8" fontId="41" fillId="0" borderId="1" xfId="1" applyNumberFormat="1" applyFont="1" applyFill="1" applyBorder="1"/>
    <xf numFmtId="9" fontId="41" fillId="0" borderId="1" xfId="3" quotePrefix="1" applyNumberFormat="1" applyFont="1" applyFill="1" applyBorder="1" applyAlignment="1">
      <alignment horizontal="center" wrapText="1"/>
    </xf>
    <xf numFmtId="172" fontId="41" fillId="0" borderId="1" xfId="9" applyNumberFormat="1" applyFont="1" applyFill="1" applyBorder="1" applyAlignment="1">
      <alignment horizontal="center"/>
    </xf>
    <xf numFmtId="0" fontId="40" fillId="0" borderId="1" xfId="3" applyFont="1" applyFill="1" applyBorder="1" applyAlignment="1">
      <alignment horizontal="center"/>
    </xf>
    <xf numFmtId="172" fontId="40" fillId="0" borderId="1" xfId="10" applyNumberFormat="1" applyFont="1" applyFill="1" applyBorder="1" applyAlignment="1">
      <alignment horizontal="center"/>
    </xf>
    <xf numFmtId="0" fontId="41" fillId="0" borderId="1" xfId="3" quotePrefix="1" applyFont="1" applyBorder="1" applyAlignment="1">
      <alignment horizontal="center" wrapText="1"/>
    </xf>
    <xf numFmtId="0" fontId="40" fillId="0" borderId="1" xfId="3" applyFont="1" applyBorder="1" applyAlignment="1">
      <alignment horizontal="center"/>
    </xf>
    <xf numFmtId="0" fontId="35" fillId="0" borderId="1" xfId="4" applyBorder="1" applyAlignment="1">
      <alignment horizontal="center"/>
    </xf>
    <xf numFmtId="172" fontId="44" fillId="0" borderId="1" xfId="10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45" fillId="0" borderId="1" xfId="3" applyFont="1" applyFill="1" applyBorder="1" applyAlignment="1">
      <alignment horizontal="left" wrapText="1"/>
    </xf>
    <xf numFmtId="0" fontId="8" fillId="0" borderId="1" xfId="7" applyFont="1" applyFill="1" applyBorder="1" applyAlignment="1">
      <alignment horizontal="center"/>
    </xf>
    <xf numFmtId="170" fontId="40" fillId="0" borderId="1" xfId="10" applyNumberFormat="1" applyFont="1" applyFill="1" applyBorder="1" applyAlignment="1">
      <alignment horizontal="center"/>
    </xf>
    <xf numFmtId="8" fontId="41" fillId="0" borderId="1" xfId="3" quotePrefix="1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vertical="center"/>
    </xf>
    <xf numFmtId="0" fontId="40" fillId="0" borderId="1" xfId="3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/>
    </xf>
    <xf numFmtId="0" fontId="40" fillId="0" borderId="1" xfId="4" applyFont="1" applyFill="1" applyBorder="1" applyAlignment="1">
      <alignment vertical="top"/>
    </xf>
    <xf numFmtId="0" fontId="40" fillId="0" borderId="1" xfId="4" applyFont="1" applyFill="1" applyBorder="1" applyAlignment="1">
      <alignment horizontal="left" vertical="top"/>
    </xf>
    <xf numFmtId="0" fontId="40" fillId="0" borderId="1" xfId="4" quotePrefix="1" applyFont="1" applyFill="1" applyBorder="1" applyAlignment="1">
      <alignment horizontal="center"/>
    </xf>
    <xf numFmtId="0" fontId="40" fillId="0" borderId="1" xfId="3" applyFont="1" applyBorder="1"/>
    <xf numFmtId="0" fontId="40" fillId="0" borderId="1" xfId="4" applyFont="1" applyFill="1" applyBorder="1" applyAlignment="1">
      <alignment horizontal="left" vertical="center"/>
    </xf>
    <xf numFmtId="173" fontId="40" fillId="0" borderId="1" xfId="10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center"/>
    </xf>
    <xf numFmtId="0" fontId="40" fillId="0" borderId="1" xfId="3" applyFont="1" applyFill="1" applyBorder="1" applyAlignment="1">
      <alignment horizontal="left" vertical="center"/>
    </xf>
    <xf numFmtId="0" fontId="40" fillId="0" borderId="1" xfId="4" quotePrefix="1" applyFont="1" applyFill="1" applyBorder="1" applyAlignment="1">
      <alignment horizontal="center" vertical="center" wrapText="1"/>
    </xf>
    <xf numFmtId="172" fontId="40" fillId="0" borderId="1" xfId="10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/>
    </xf>
    <xf numFmtId="0" fontId="45" fillId="0" borderId="1" xfId="3" applyFont="1" applyBorder="1" applyAlignment="1">
      <alignment wrapText="1"/>
    </xf>
    <xf numFmtId="0" fontId="35" fillId="0" borderId="1" xfId="3" applyFont="1" applyBorder="1" applyAlignment="1">
      <alignment horizontal="center" vertical="center"/>
    </xf>
    <xf numFmtId="0" fontId="22" fillId="0" borderId="1" xfId="3" applyFont="1" applyFill="1" applyBorder="1" applyAlignment="1">
      <alignment horizontal="left" wrapText="1"/>
    </xf>
    <xf numFmtId="0" fontId="46" fillId="0" borderId="1" xfId="4" quotePrefix="1" applyFont="1" applyFill="1" applyBorder="1" applyAlignment="1">
      <alignment horizontal="center" wrapText="1"/>
    </xf>
    <xf numFmtId="0" fontId="40" fillId="0" borderId="1" xfId="3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wrapText="1"/>
    </xf>
    <xf numFmtId="0" fontId="41" fillId="0" borderId="1" xfId="3" applyFont="1" applyBorder="1" applyAlignment="1">
      <alignment horizontal="center" wrapText="1"/>
    </xf>
    <xf numFmtId="0" fontId="40" fillId="0" borderId="1" xfId="3" quotePrefix="1" applyFont="1" applyFill="1" applyBorder="1" applyAlignment="1">
      <alignment horizontal="center"/>
    </xf>
    <xf numFmtId="0" fontId="41" fillId="0" borderId="1" xfId="3" applyFont="1" applyBorder="1" applyAlignment="1">
      <alignment horizontal="left" wrapText="1"/>
    </xf>
    <xf numFmtId="0" fontId="41" fillId="0" borderId="1" xfId="4" applyFont="1" applyBorder="1"/>
    <xf numFmtId="0" fontId="40" fillId="0" borderId="1" xfId="7" applyFont="1" applyBorder="1" applyAlignment="1">
      <alignment wrapText="1"/>
    </xf>
    <xf numFmtId="0" fontId="47" fillId="0" borderId="1" xfId="3" applyFont="1" applyBorder="1" applyAlignment="1">
      <alignment horizontal="center"/>
    </xf>
    <xf numFmtId="173" fontId="41" fillId="0" borderId="1" xfId="4" applyNumberFormat="1" applyFont="1" applyBorder="1" applyAlignment="1">
      <alignment horizontal="center"/>
    </xf>
    <xf numFmtId="0" fontId="26" fillId="12" borderId="1" xfId="2" applyFont="1" applyFill="1" applyBorder="1" applyAlignment="1">
      <alignment horizontal="center"/>
    </xf>
    <xf numFmtId="0" fontId="40" fillId="13" borderId="1" xfId="2" applyFont="1" applyFill="1" applyBorder="1" applyAlignment="1">
      <alignment horizontal="center"/>
    </xf>
    <xf numFmtId="0" fontId="40" fillId="0" borderId="1" xfId="7" applyFont="1" applyBorder="1" applyAlignment="1">
      <alignment horizontal="left" wrapText="1"/>
    </xf>
    <xf numFmtId="0" fontId="40" fillId="0" borderId="1" xfId="8" quotePrefix="1" applyFont="1" applyFill="1" applyBorder="1" applyAlignment="1">
      <alignment horizontal="center" wrapText="1"/>
    </xf>
    <xf numFmtId="0" fontId="40" fillId="0" borderId="1" xfId="3" applyFont="1" applyFill="1" applyBorder="1" applyAlignment="1">
      <alignment wrapText="1"/>
    </xf>
    <xf numFmtId="0" fontId="40" fillId="0" borderId="1" xfId="8" quotePrefix="1" applyFont="1" applyFill="1" applyBorder="1" applyAlignment="1">
      <alignment horizontal="center"/>
    </xf>
    <xf numFmtId="0" fontId="40" fillId="0" borderId="1" xfId="8" quotePrefix="1" applyFont="1" applyFill="1" applyBorder="1" applyAlignment="1">
      <alignment horizontal="center" vertical="center" wrapText="1"/>
    </xf>
    <xf numFmtId="0" fontId="40" fillId="0" borderId="1" xfId="8" quotePrefix="1" applyFont="1" applyBorder="1" applyAlignment="1">
      <alignment horizontal="center" wrapText="1"/>
    </xf>
    <xf numFmtId="0" fontId="40" fillId="0" borderId="1" xfId="3" quotePrefix="1" applyFont="1" applyFill="1" applyBorder="1" applyAlignment="1">
      <alignment horizontal="center" wrapText="1"/>
    </xf>
    <xf numFmtId="0" fontId="40" fillId="0" borderId="1" xfId="7" quotePrefix="1" applyFont="1" applyBorder="1" applyAlignment="1">
      <alignment horizontal="left" wrapText="1"/>
    </xf>
    <xf numFmtId="0" fontId="36" fillId="0" borderId="16" xfId="4" applyFont="1" applyBorder="1" applyAlignment="1">
      <alignment horizontal="left"/>
    </xf>
    <xf numFmtId="0" fontId="36" fillId="0" borderId="17" xfId="4" applyFont="1" applyBorder="1" applyAlignment="1">
      <alignment horizontal="left"/>
    </xf>
    <xf numFmtId="0" fontId="36" fillId="0" borderId="18" xfId="4" applyFont="1" applyFill="1" applyBorder="1" applyAlignment="1">
      <alignment horizontal="left"/>
    </xf>
    <xf numFmtId="0" fontId="35" fillId="0" borderId="19" xfId="4" applyBorder="1"/>
    <xf numFmtId="9" fontId="34" fillId="0" borderId="20" xfId="2" applyNumberFormat="1" applyFill="1" applyBorder="1" applyAlignment="1">
      <alignment horizontal="center" vertical="center"/>
    </xf>
    <xf numFmtId="0" fontId="35" fillId="0" borderId="19" xfId="4" applyFill="1" applyBorder="1"/>
    <xf numFmtId="165" fontId="34" fillId="0" borderId="20" xfId="2" applyNumberFormat="1" applyFont="1" applyFill="1" applyBorder="1" applyAlignment="1">
      <alignment horizontal="center"/>
    </xf>
    <xf numFmtId="172" fontId="34" fillId="15" borderId="1" xfId="2" applyNumberFormat="1" applyFill="1" applyBorder="1"/>
    <xf numFmtId="9" fontId="34" fillId="0" borderId="20" xfId="2" applyNumberFormat="1" applyFill="1" applyBorder="1" applyAlignment="1">
      <alignment horizontal="center"/>
    </xf>
    <xf numFmtId="0" fontId="48" fillId="0" borderId="19" xfId="4" applyFont="1" applyFill="1" applyBorder="1"/>
    <xf numFmtId="172" fontId="34" fillId="15" borderId="1" xfId="2" applyNumberFormat="1" applyFont="1" applyFill="1" applyBorder="1"/>
    <xf numFmtId="0" fontId="49" fillId="0" borderId="19" xfId="4" applyFont="1" applyFill="1" applyBorder="1"/>
    <xf numFmtId="172" fontId="34" fillId="6" borderId="1" xfId="2" applyNumberFormat="1" applyFill="1" applyBorder="1"/>
    <xf numFmtId="0" fontId="50" fillId="0" borderId="19" xfId="4" applyFont="1" applyFill="1" applyBorder="1"/>
    <xf numFmtId="164" fontId="34" fillId="6" borderId="1" xfId="2" applyNumberFormat="1" applyFill="1" applyBorder="1"/>
    <xf numFmtId="14" fontId="34" fillId="0" borderId="20" xfId="2" applyNumberFormat="1" applyFill="1" applyBorder="1" applyAlignment="1">
      <alignment horizontal="center"/>
    </xf>
    <xf numFmtId="0" fontId="51" fillId="0" borderId="21" xfId="4" applyFont="1" applyFill="1" applyBorder="1"/>
    <xf numFmtId="9" fontId="34" fillId="0" borderId="22" xfId="2" applyNumberFormat="1" applyFill="1" applyBorder="1" applyAlignment="1">
      <alignment horizontal="center"/>
    </xf>
    <xf numFmtId="0" fontId="52" fillId="0" borderId="19" xfId="4" applyFont="1" applyBorder="1"/>
    <xf numFmtId="170" fontId="34" fillId="4" borderId="1" xfId="2" applyNumberFormat="1" applyBorder="1"/>
    <xf numFmtId="165" fontId="34" fillId="0" borderId="20" xfId="2" applyNumberFormat="1" applyFill="1" applyBorder="1" applyAlignment="1">
      <alignment horizontal="center"/>
    </xf>
    <xf numFmtId="166" fontId="34" fillId="0" borderId="20" xfId="2" applyNumberFormat="1" applyFill="1" applyBorder="1" applyAlignment="1">
      <alignment horizontal="center"/>
    </xf>
    <xf numFmtId="0" fontId="52" fillId="0" borderId="19" xfId="4" applyFont="1" applyFill="1" applyBorder="1" applyAlignment="1">
      <alignment horizontal="left"/>
    </xf>
    <xf numFmtId="0" fontId="52" fillId="0" borderId="19" xfId="4" applyFont="1" applyFill="1" applyBorder="1"/>
    <xf numFmtId="0" fontId="35" fillId="0" borderId="21" xfId="4" applyBorder="1"/>
    <xf numFmtId="0" fontId="35" fillId="0" borderId="22" xfId="4" applyFill="1" applyBorder="1" applyAlignment="1">
      <alignment horizontal="center"/>
    </xf>
    <xf numFmtId="0" fontId="53" fillId="0" borderId="19" xfId="3" applyFont="1" applyBorder="1" applyAlignment="1">
      <alignment vertical="center" wrapText="1"/>
    </xf>
    <xf numFmtId="173" fontId="35" fillId="0" borderId="1" xfId="3" applyNumberFormat="1" applyFont="1" applyFill="1" applyBorder="1" applyAlignment="1">
      <alignment horizontal="center" vertical="center"/>
    </xf>
    <xf numFmtId="167" fontId="35" fillId="0" borderId="20" xfId="3" applyNumberFormat="1" applyFont="1" applyFill="1" applyBorder="1" applyAlignment="1">
      <alignment horizontal="center"/>
    </xf>
    <xf numFmtId="0" fontId="53" fillId="0" borderId="19" xfId="3" applyFont="1" applyBorder="1" applyAlignment="1">
      <alignment wrapText="1"/>
    </xf>
    <xf numFmtId="0" fontId="53" fillId="0" borderId="21" xfId="3" applyFont="1" applyBorder="1" applyAlignment="1">
      <alignment vertical="center" wrapText="1"/>
    </xf>
    <xf numFmtId="0" fontId="35" fillId="0" borderId="0" xfId="3" applyFont="1" applyFill="1" applyBorder="1" applyAlignment="1">
      <alignment horizontal="center" vertical="center"/>
    </xf>
    <xf numFmtId="0" fontId="35" fillId="0" borderId="22" xfId="3" applyFont="1" applyFill="1" applyBorder="1" applyAlignment="1">
      <alignment horizontal="center"/>
    </xf>
    <xf numFmtId="168" fontId="54" fillId="0" borderId="1" xfId="3" applyNumberFormat="1" applyFont="1" applyFill="1" applyBorder="1" applyAlignment="1">
      <alignment horizontal="center" vertical="center"/>
    </xf>
    <xf numFmtId="168" fontId="54" fillId="0" borderId="20" xfId="3" applyNumberFormat="1" applyFont="1" applyFill="1" applyBorder="1" applyAlignment="1">
      <alignment horizontal="center"/>
    </xf>
    <xf numFmtId="0" fontId="53" fillId="0" borderId="23" xfId="3" applyFont="1" applyBorder="1" applyAlignment="1">
      <alignment vertical="center" wrapText="1"/>
    </xf>
    <xf numFmtId="168" fontId="54" fillId="0" borderId="24" xfId="3" applyNumberFormat="1" applyFont="1" applyFill="1" applyBorder="1" applyAlignment="1">
      <alignment horizontal="center" vertical="center"/>
    </xf>
    <xf numFmtId="168" fontId="54" fillId="0" borderId="25" xfId="3" applyNumberFormat="1" applyFont="1" applyFill="1" applyBorder="1" applyAlignment="1">
      <alignment horizontal="center"/>
    </xf>
    <xf numFmtId="176" fontId="41" fillId="13" borderId="1" xfId="3" applyNumberFormat="1" applyFont="1" applyFill="1" applyBorder="1" applyAlignment="1">
      <alignment horizontal="right"/>
    </xf>
    <xf numFmtId="0" fontId="55" fillId="10" borderId="1" xfId="3" applyFont="1" applyFill="1" applyBorder="1" applyAlignment="1">
      <alignment horizontal="center" wrapText="1"/>
    </xf>
    <xf numFmtId="0" fontId="35" fillId="0" borderId="26" xfId="3" applyFont="1" applyBorder="1" applyAlignment="1">
      <alignment horizontal="center" vertical="center"/>
    </xf>
    <xf numFmtId="1" fontId="2" fillId="13" borderId="5" xfId="8" applyNumberFormat="1" applyFont="1" applyFill="1" applyBorder="1" applyAlignment="1" applyProtection="1">
      <alignment horizontal="center"/>
      <protection locked="0"/>
    </xf>
    <xf numFmtId="175" fontId="2" fillId="13" borderId="5" xfId="8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Border="1" applyAlignment="1" applyProtection="1">
      <alignment vertical="top" wrapText="1"/>
    </xf>
    <xf numFmtId="0" fontId="6" fillId="0" borderId="0" xfId="4" applyFont="1" applyFill="1" applyBorder="1" applyAlignment="1" applyProtection="1">
      <alignment vertical="center"/>
    </xf>
    <xf numFmtId="0" fontId="2" fillId="0" borderId="0" xfId="5" applyFont="1" applyFill="1" applyProtection="1"/>
    <xf numFmtId="0" fontId="5" fillId="0" borderId="0" xfId="5" applyFont="1" applyFill="1" applyProtection="1"/>
    <xf numFmtId="0" fontId="3" fillId="0" borderId="0" xfId="5" applyFont="1" applyFill="1" applyProtection="1"/>
    <xf numFmtId="0" fontId="4" fillId="0" borderId="0" xfId="5" applyFont="1" applyFill="1" applyProtection="1"/>
    <xf numFmtId="0" fontId="5" fillId="0" borderId="27" xfId="5" applyFont="1" applyFill="1" applyBorder="1" applyAlignment="1" applyProtection="1">
      <alignment vertical="top" wrapText="1"/>
    </xf>
    <xf numFmtId="0" fontId="3" fillId="0" borderId="27" xfId="5" applyFont="1" applyFill="1" applyBorder="1" applyAlignment="1" applyProtection="1">
      <alignment vertical="top" wrapText="1"/>
    </xf>
    <xf numFmtId="0" fontId="5" fillId="0" borderId="27" xfId="5" applyFont="1" applyFill="1" applyBorder="1" applyAlignment="1" applyProtection="1">
      <alignment horizontal="center" vertical="top" wrapText="1"/>
    </xf>
    <xf numFmtId="0" fontId="5" fillId="0" borderId="0" xfId="5" applyFont="1" applyFill="1"/>
    <xf numFmtId="0" fontId="2" fillId="0" borderId="0" xfId="5" applyFont="1" applyFill="1"/>
    <xf numFmtId="43" fontId="5" fillId="0" borderId="0" xfId="5" applyNumberFormat="1" applyFont="1" applyFill="1"/>
    <xf numFmtId="0" fontId="7" fillId="0" borderId="0" xfId="0" applyFont="1" applyFill="1" applyBorder="1" applyAlignment="1" applyProtection="1">
      <alignment vertical="center"/>
    </xf>
    <xf numFmtId="0" fontId="41" fillId="12" borderId="1" xfId="3" quotePrefix="1" applyFont="1" applyFill="1" applyBorder="1" applyAlignment="1">
      <alignment horizontal="center" wrapText="1"/>
    </xf>
    <xf numFmtId="40" fontId="5" fillId="8" borderId="6" xfId="8" applyNumberFormat="1" applyFont="1" applyFill="1" applyBorder="1" applyProtection="1">
      <protection locked="0"/>
    </xf>
    <xf numFmtId="40" fontId="5" fillId="11" borderId="6" xfId="8" applyNumberFormat="1" applyFont="1" applyFill="1" applyBorder="1" applyProtection="1">
      <protection locked="0"/>
    </xf>
    <xf numFmtId="40" fontId="5" fillId="10" borderId="6" xfId="5" applyNumberFormat="1" applyFont="1" applyFill="1" applyBorder="1" applyAlignment="1">
      <alignment horizontal="right"/>
    </xf>
    <xf numFmtId="8" fontId="40" fillId="0" borderId="1" xfId="3" applyNumberFormat="1" applyFont="1" applyFill="1" applyBorder="1"/>
    <xf numFmtId="0" fontId="40" fillId="10" borderId="1" xfId="3" quotePrefix="1" applyFont="1" applyFill="1" applyBorder="1" applyAlignment="1">
      <alignment horizontal="center" wrapText="1"/>
    </xf>
    <xf numFmtId="8" fontId="40" fillId="10" borderId="1" xfId="3" applyNumberFormat="1" applyFont="1" applyFill="1" applyBorder="1"/>
    <xf numFmtId="165" fontId="41" fillId="10" borderId="1" xfId="3" applyNumberFormat="1" applyFont="1" applyFill="1" applyBorder="1"/>
    <xf numFmtId="0" fontId="56" fillId="0" borderId="28" xfId="4" applyFont="1" applyBorder="1" applyAlignment="1">
      <alignment horizontal="center" wrapText="1"/>
    </xf>
    <xf numFmtId="0" fontId="36" fillId="9" borderId="29" xfId="3" applyFont="1" applyFill="1" applyBorder="1" applyAlignment="1">
      <alignment horizontal="center" wrapText="1"/>
    </xf>
    <xf numFmtId="0" fontId="36" fillId="9" borderId="2" xfId="3" applyFont="1" applyFill="1" applyBorder="1" applyAlignment="1">
      <alignment horizontal="center" wrapText="1"/>
    </xf>
    <xf numFmtId="0" fontId="39" fillId="9" borderId="29" xfId="3" applyFont="1" applyFill="1" applyBorder="1" applyAlignment="1">
      <alignment horizontal="center" vertical="center" wrapText="1"/>
    </xf>
    <xf numFmtId="0" fontId="39" fillId="9" borderId="2" xfId="3" applyFont="1" applyFill="1" applyBorder="1" applyAlignment="1">
      <alignment horizontal="center" vertical="center" wrapText="1"/>
    </xf>
    <xf numFmtId="0" fontId="36" fillId="9" borderId="29" xfId="3" applyFont="1" applyFill="1" applyBorder="1" applyAlignment="1">
      <alignment horizontal="center"/>
    </xf>
    <xf numFmtId="0" fontId="36" fillId="9" borderId="2" xfId="3" applyFont="1" applyFill="1" applyBorder="1" applyAlignment="1">
      <alignment horizontal="center"/>
    </xf>
    <xf numFmtId="9" fontId="34" fillId="0" borderId="20" xfId="2" applyNumberFormat="1" applyFill="1" applyBorder="1" applyAlignment="1">
      <alignment horizontal="center" vertical="center"/>
    </xf>
    <xf numFmtId="0" fontId="35" fillId="0" borderId="26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9" fontId="34" fillId="0" borderId="20" xfId="2" applyNumberFormat="1" applyFont="1" applyFill="1" applyBorder="1" applyAlignment="1">
      <alignment horizontal="center" vertical="center"/>
    </xf>
    <xf numFmtId="166" fontId="34" fillId="0" borderId="20" xfId="2" applyNumberFormat="1" applyFill="1" applyBorder="1" applyAlignment="1">
      <alignment horizontal="center" vertical="center"/>
    </xf>
    <xf numFmtId="165" fontId="34" fillId="0" borderId="20" xfId="2" applyNumberFormat="1" applyFill="1" applyBorder="1" applyAlignment="1">
      <alignment horizontal="center" vertical="center"/>
    </xf>
    <xf numFmtId="10" fontId="34" fillId="0" borderId="20" xfId="2" applyNumberFormat="1" applyFill="1" applyBorder="1" applyAlignment="1">
      <alignment horizontal="center" vertical="center"/>
    </xf>
    <xf numFmtId="0" fontId="40" fillId="0" borderId="30" xfId="3" quotePrefix="1" applyFont="1" applyFill="1" applyBorder="1" applyAlignment="1">
      <alignment horizontal="center" wrapText="1"/>
    </xf>
    <xf numFmtId="0" fontId="40" fillId="0" borderId="27" xfId="3" quotePrefix="1" applyFont="1" applyFill="1" applyBorder="1" applyAlignment="1">
      <alignment horizontal="center" wrapText="1"/>
    </xf>
    <xf numFmtId="0" fontId="40" fillId="0" borderId="31" xfId="3" quotePrefix="1" applyFont="1" applyFill="1" applyBorder="1" applyAlignment="1">
      <alignment horizontal="center" wrapText="1"/>
    </xf>
    <xf numFmtId="0" fontId="41" fillId="0" borderId="1" xfId="3" applyFont="1" applyBorder="1" applyAlignment="1">
      <alignment horizontal="center" vertical="center"/>
    </xf>
    <xf numFmtId="10" fontId="40" fillId="0" borderId="30" xfId="7" quotePrefix="1" applyNumberFormat="1" applyFont="1" applyBorder="1" applyAlignment="1">
      <alignment horizontal="center" vertical="center" wrapText="1"/>
    </xf>
    <xf numFmtId="10" fontId="40" fillId="0" borderId="27" xfId="7" quotePrefix="1" applyNumberFormat="1" applyFont="1" applyBorder="1" applyAlignment="1">
      <alignment horizontal="center" vertical="center" wrapText="1"/>
    </xf>
    <xf numFmtId="10" fontId="40" fillId="0" borderId="31" xfId="7" quotePrefix="1" applyNumberFormat="1" applyFont="1" applyBorder="1" applyAlignment="1">
      <alignment horizontal="center" vertical="center" wrapText="1"/>
    </xf>
    <xf numFmtId="172" fontId="40" fillId="0" borderId="1" xfId="7" applyNumberFormat="1" applyFont="1" applyFill="1" applyBorder="1" applyAlignment="1">
      <alignment horizontal="center" vertical="center"/>
    </xf>
    <xf numFmtId="172" fontId="40" fillId="0" borderId="1" xfId="7" applyNumberFormat="1" applyFont="1" applyBorder="1" applyAlignment="1">
      <alignment horizontal="center" vertical="center"/>
    </xf>
    <xf numFmtId="0" fontId="40" fillId="0" borderId="1" xfId="3" applyFont="1" applyFill="1" applyBorder="1" applyAlignment="1">
      <alignment horizontal="center" vertical="center"/>
    </xf>
    <xf numFmtId="0" fontId="35" fillId="0" borderId="0" xfId="4" applyAlignment="1">
      <alignment horizontal="left"/>
    </xf>
  </cellXfs>
  <cellStyles count="11">
    <cellStyle name="Comma 2" xfId="1"/>
    <cellStyle name="Input" xfId="2" builtinId="20"/>
    <cellStyle name="Normal" xfId="0" builtinId="0"/>
    <cellStyle name="Normal 2 2" xfId="3"/>
    <cellStyle name="Normal 3" xfId="4"/>
    <cellStyle name="Normal 3 2" xfId="5"/>
    <cellStyle name="Normal_E-13OIL1" xfId="6"/>
    <cellStyle name="Normal_npsl_vv_report_test-nlj1" xfId="7"/>
    <cellStyle name="Normal_prudoor14" xfId="8"/>
    <cellStyle name="Percent" xfId="9" builtinId="5"/>
    <cellStyle name="Percent 2" xfId="10"/>
  </cellStyles>
  <dxfs count="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79"/>
  <sheetViews>
    <sheetView workbookViewId="0">
      <selection activeCell="E14" sqref="E14"/>
    </sheetView>
  </sheetViews>
  <sheetFormatPr defaultRowHeight="11.25" x14ac:dyDescent="0.2"/>
  <cols>
    <col min="1" max="1" width="5.85546875" style="6" customWidth="1"/>
    <col min="2" max="2" width="9" style="6" customWidth="1"/>
    <col min="3" max="3" width="10.5703125" style="6" bestFit="1" customWidth="1"/>
    <col min="4" max="4" width="11.140625" style="6" bestFit="1" customWidth="1"/>
    <col min="5" max="5" width="11.28515625" style="6" customWidth="1"/>
    <col min="6" max="6" width="13.28515625" style="8" bestFit="1" customWidth="1"/>
    <col min="7" max="7" width="16" style="9" customWidth="1"/>
    <col min="8" max="8" width="14.140625" style="9" customWidth="1"/>
    <col min="9" max="9" width="14" style="9" customWidth="1"/>
    <col min="10" max="16384" width="9.140625" style="322"/>
  </cols>
  <sheetData>
    <row r="1" spans="1:9" s="15" customFormat="1" ht="46.5" customHeight="1" x14ac:dyDescent="0.2">
      <c r="A1" s="15" t="str">
        <f>' VV - Example'!A1</f>
        <v>ALASKA DNR - OIL &amp; GAS  V 1.201212</v>
      </c>
      <c r="B1" s="321"/>
      <c r="F1" s="16"/>
    </row>
    <row r="2" spans="1:9" x14ac:dyDescent="0.2">
      <c r="A2" s="23" t="s">
        <v>39</v>
      </c>
      <c r="B2" s="1"/>
      <c r="C2" s="35" t="s">
        <v>321</v>
      </c>
      <c r="D2" s="1"/>
      <c r="E2" s="1"/>
      <c r="F2" s="5" t="str">
        <f>' VV - Example'!G2</f>
        <v>VV</v>
      </c>
      <c r="G2" s="13"/>
      <c r="H2" s="1"/>
      <c r="I2" s="1"/>
    </row>
    <row r="3" spans="1:9" s="323" customFormat="1" x14ac:dyDescent="0.2">
      <c r="A3" s="23" t="s">
        <v>33</v>
      </c>
      <c r="B3" s="1"/>
      <c r="C3" s="35" t="s">
        <v>322</v>
      </c>
      <c r="D3" s="1"/>
      <c r="E3" s="1"/>
      <c r="F3" s="5" t="str">
        <f>' VV - Example'!G3</f>
        <v>AL</v>
      </c>
      <c r="G3" s="13"/>
      <c r="H3" s="2"/>
      <c r="I3" s="2"/>
    </row>
    <row r="4" spans="1:9" s="324" customFormat="1" x14ac:dyDescent="0.2">
      <c r="A4" s="18" t="s">
        <v>40</v>
      </c>
      <c r="B4" s="19"/>
      <c r="C4" s="19"/>
      <c r="D4" s="19"/>
      <c r="E4" s="19"/>
      <c r="F4" s="5" t="str">
        <f>' VV - Example'!G4</f>
        <v>REG</v>
      </c>
      <c r="G4" s="19"/>
      <c r="H4" s="19"/>
      <c r="I4" s="19"/>
    </row>
    <row r="5" spans="1:9" x14ac:dyDescent="0.2">
      <c r="A5" s="4" t="s">
        <v>14</v>
      </c>
      <c r="B5" s="1"/>
      <c r="C5" s="1"/>
      <c r="D5" s="1"/>
      <c r="E5" s="1"/>
      <c r="F5" s="5" t="str">
        <f>' VV - Example'!G5</f>
        <v>000012345</v>
      </c>
      <c r="G5" s="13"/>
      <c r="H5" s="1"/>
      <c r="I5" s="1"/>
    </row>
    <row r="6" spans="1:9" x14ac:dyDescent="0.2">
      <c r="A6" s="4" t="s">
        <v>26</v>
      </c>
      <c r="B6" s="1"/>
      <c r="C6" s="1"/>
      <c r="D6" s="1"/>
      <c r="E6" s="1"/>
      <c r="F6" s="5" t="str">
        <f>' VV - Example'!G6</f>
        <v>ABC</v>
      </c>
      <c r="G6" s="13"/>
      <c r="H6" s="1"/>
      <c r="I6" s="1"/>
    </row>
    <row r="7" spans="1:9" x14ac:dyDescent="0.2">
      <c r="A7" s="4" t="s">
        <v>15</v>
      </c>
      <c r="B7" s="1"/>
      <c r="C7" s="1"/>
      <c r="D7" s="1"/>
      <c r="E7" s="1"/>
      <c r="F7" s="126">
        <f>' VV - Example'!G7</f>
        <v>41183</v>
      </c>
      <c r="G7" s="13"/>
      <c r="H7" s="1"/>
      <c r="I7" s="1"/>
    </row>
    <row r="8" spans="1:9" x14ac:dyDescent="0.2">
      <c r="A8" s="4" t="s">
        <v>17</v>
      </c>
      <c r="B8" s="1"/>
      <c r="C8" s="1"/>
      <c r="D8" s="1"/>
      <c r="E8" s="1"/>
      <c r="F8" s="5" t="str">
        <f>' VV - Example'!G8</f>
        <v>00</v>
      </c>
      <c r="G8" s="13"/>
      <c r="H8" s="1"/>
      <c r="I8" s="1"/>
    </row>
    <row r="9" spans="1:9" x14ac:dyDescent="0.2">
      <c r="A9" s="4" t="s">
        <v>5</v>
      </c>
      <c r="B9" s="1"/>
      <c r="C9" s="1"/>
      <c r="D9" s="1"/>
      <c r="E9" s="1"/>
      <c r="F9" s="126">
        <f>' VV - Example'!G9</f>
        <v>41244</v>
      </c>
      <c r="G9" s="13"/>
      <c r="H9" s="1"/>
      <c r="I9" s="1"/>
    </row>
    <row r="10" spans="1:9" x14ac:dyDescent="0.2">
      <c r="A10" s="4" t="s">
        <v>16</v>
      </c>
      <c r="B10" s="1"/>
      <c r="C10" s="1"/>
      <c r="D10" s="1"/>
      <c r="E10" s="1"/>
      <c r="F10" s="5" t="str">
        <f>' VV - Example'!G10</f>
        <v>000012345N12201200</v>
      </c>
      <c r="G10" s="13"/>
      <c r="H10" s="1"/>
      <c r="I10" s="1"/>
    </row>
    <row r="11" spans="1:9" x14ac:dyDescent="0.2">
      <c r="A11" s="4" t="s">
        <v>13</v>
      </c>
      <c r="B11" s="1"/>
      <c r="C11" s="1"/>
      <c r="D11" s="1"/>
      <c r="E11" s="1"/>
      <c r="F11" s="126">
        <f>' VV - Example'!G11</f>
        <v>41265</v>
      </c>
      <c r="G11" s="1"/>
      <c r="H11" s="1"/>
      <c r="I11" s="1"/>
    </row>
    <row r="12" spans="1:9" x14ac:dyDescent="0.2">
      <c r="A12" s="4" t="s">
        <v>7</v>
      </c>
      <c r="B12" s="1"/>
      <c r="C12" s="1"/>
      <c r="D12" s="1"/>
      <c r="E12" s="1"/>
      <c r="F12" s="5" t="str">
        <f>' VV - Example'!G12</f>
        <v>ADL #</v>
      </c>
      <c r="G12" s="13"/>
      <c r="H12" s="1"/>
      <c r="I12" s="1"/>
    </row>
    <row r="13" spans="1:9" x14ac:dyDescent="0.2">
      <c r="A13" s="4"/>
      <c r="B13" s="1"/>
      <c r="C13" s="1"/>
      <c r="D13" s="1"/>
      <c r="E13" s="1"/>
      <c r="F13" s="1"/>
      <c r="G13" s="13"/>
      <c r="H13" s="1"/>
      <c r="I13" s="1"/>
    </row>
    <row r="14" spans="1:9" x14ac:dyDescent="0.2">
      <c r="A14" s="4"/>
      <c r="B14" s="1"/>
      <c r="C14" s="1"/>
      <c r="D14" s="1"/>
      <c r="E14" s="1"/>
      <c r="F14" s="1"/>
      <c r="G14" s="13"/>
      <c r="H14" s="1"/>
      <c r="I14" s="1"/>
    </row>
    <row r="15" spans="1:9" x14ac:dyDescent="0.2">
      <c r="A15" s="4"/>
      <c r="B15" s="1"/>
      <c r="C15" s="1"/>
      <c r="D15" s="1"/>
      <c r="E15" s="1"/>
      <c r="F15" s="1"/>
      <c r="G15" s="13"/>
      <c r="H15" s="1"/>
      <c r="I15" s="1"/>
    </row>
    <row r="16" spans="1:9" x14ac:dyDescent="0.2">
      <c r="A16" s="4"/>
      <c r="B16" s="1"/>
      <c r="C16" s="1"/>
      <c r="D16" s="1"/>
      <c r="E16" s="1"/>
      <c r="F16" s="1"/>
      <c r="G16" s="13"/>
      <c r="H16" s="1"/>
      <c r="I16" s="1"/>
    </row>
    <row r="17" spans="1:9" x14ac:dyDescent="0.2">
      <c r="A17" s="4"/>
      <c r="B17" s="1"/>
      <c r="C17" s="1"/>
      <c r="D17" s="1"/>
      <c r="E17" s="1"/>
      <c r="F17" s="1"/>
      <c r="G17" s="13"/>
      <c r="H17" s="1"/>
      <c r="I17" s="1"/>
    </row>
    <row r="18" spans="1:9" s="324" customFormat="1" ht="12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4" t="s">
        <v>22</v>
      </c>
      <c r="B19" s="1"/>
      <c r="C19" s="1"/>
      <c r="D19" s="1"/>
      <c r="E19" s="1"/>
      <c r="F19" s="5" t="str">
        <f>' VV - Example'!G19</f>
        <v>XYZ Company</v>
      </c>
      <c r="G19" s="1"/>
      <c r="H19" s="1"/>
      <c r="I19" s="1"/>
    </row>
    <row r="20" spans="1:9" x14ac:dyDescent="0.2">
      <c r="A20" s="4" t="s">
        <v>27</v>
      </c>
      <c r="B20" s="1"/>
      <c r="C20" s="1"/>
      <c r="D20" s="1"/>
      <c r="E20" s="1"/>
      <c r="F20" s="5" t="str">
        <f>' VV - Example'!G20</f>
        <v>Enter Data</v>
      </c>
      <c r="G20" s="1"/>
      <c r="H20" s="1"/>
      <c r="I20" s="1"/>
    </row>
    <row r="21" spans="1:9" x14ac:dyDescent="0.2">
      <c r="A21" s="4" t="s">
        <v>0</v>
      </c>
      <c r="B21" s="1"/>
      <c r="C21" s="1"/>
      <c r="D21" s="1"/>
      <c r="E21" s="1"/>
      <c r="F21" s="5" t="str">
        <f>' VV - Example'!G21</f>
        <v>Enter Data</v>
      </c>
      <c r="G21" s="1"/>
      <c r="H21" s="1"/>
      <c r="I21" s="1"/>
    </row>
    <row r="22" spans="1:9" x14ac:dyDescent="0.2">
      <c r="A22" s="4" t="s">
        <v>1</v>
      </c>
      <c r="B22" s="1"/>
      <c r="C22" s="1"/>
      <c r="D22" s="1"/>
      <c r="E22" s="1"/>
      <c r="F22" s="5" t="str">
        <f>' VV - Example'!G22</f>
        <v>Enter Data</v>
      </c>
      <c r="G22" s="1"/>
      <c r="H22" s="1"/>
      <c r="I22" s="1"/>
    </row>
    <row r="23" spans="1:9" x14ac:dyDescent="0.2">
      <c r="A23" s="4" t="s">
        <v>2</v>
      </c>
      <c r="B23" s="1"/>
      <c r="C23" s="1"/>
      <c r="D23" s="1"/>
      <c r="E23" s="1"/>
      <c r="F23" s="5" t="str">
        <f>' VV - Example'!G23</f>
        <v>Enter Data</v>
      </c>
      <c r="G23" s="1"/>
      <c r="H23" s="1"/>
      <c r="I23" s="1"/>
    </row>
    <row r="24" spans="1:9" x14ac:dyDescent="0.2">
      <c r="A24" s="4" t="s">
        <v>3</v>
      </c>
      <c r="B24" s="1"/>
      <c r="C24" s="1"/>
      <c r="D24" s="1"/>
      <c r="E24" s="1"/>
      <c r="F24" s="5" t="str">
        <f>' VV - Example'!G24</f>
        <v>Enter Data</v>
      </c>
      <c r="G24" s="1"/>
      <c r="H24" s="1"/>
      <c r="I24" s="1"/>
    </row>
    <row r="25" spans="1:9" x14ac:dyDescent="0.2">
      <c r="A25" s="4" t="s">
        <v>4</v>
      </c>
      <c r="B25" s="1"/>
      <c r="C25" s="1"/>
      <c r="D25" s="1"/>
      <c r="E25" s="1"/>
      <c r="F25" s="5" t="str">
        <f>' VV - Example'!G25</f>
        <v>Enter Data</v>
      </c>
      <c r="G25" s="1"/>
      <c r="H25" s="1"/>
      <c r="I25" s="1"/>
    </row>
    <row r="26" spans="1:9" x14ac:dyDescent="0.2">
      <c r="A26" s="4" t="s">
        <v>6</v>
      </c>
      <c r="B26" s="1"/>
      <c r="C26" s="1"/>
      <c r="D26" s="1"/>
      <c r="E26" s="1"/>
      <c r="F26" s="5" t="str">
        <f>' VV - Example'!G26</f>
        <v>Enter Data</v>
      </c>
      <c r="G26" s="1"/>
      <c r="H26" s="1"/>
      <c r="I26" s="1"/>
    </row>
    <row r="27" spans="1:9" x14ac:dyDescent="0.2">
      <c r="A27" s="4" t="s">
        <v>8</v>
      </c>
      <c r="B27" s="1"/>
      <c r="C27" s="1"/>
      <c r="D27" s="1"/>
      <c r="E27" s="1"/>
      <c r="F27" s="5" t="str">
        <f>' VV - Example'!G27</f>
        <v>Enter Data</v>
      </c>
      <c r="G27" s="1"/>
      <c r="H27" s="1"/>
      <c r="I27" s="1"/>
    </row>
    <row r="28" spans="1:9" x14ac:dyDescent="0.2">
      <c r="A28" s="4" t="s">
        <v>9</v>
      </c>
      <c r="B28" s="1"/>
      <c r="C28" s="1"/>
      <c r="D28" s="1"/>
      <c r="E28" s="1"/>
      <c r="F28" s="5" t="str">
        <f>' VV - Example'!G28</f>
        <v>Enter Data</v>
      </c>
      <c r="G28" s="1"/>
      <c r="H28" s="1"/>
      <c r="I28" s="1"/>
    </row>
    <row r="29" spans="1:9" x14ac:dyDescent="0.2">
      <c r="A29" s="4" t="s">
        <v>12</v>
      </c>
      <c r="B29" s="1"/>
      <c r="C29" s="1"/>
      <c r="D29" s="1"/>
      <c r="E29" s="1"/>
      <c r="F29" s="5" t="str">
        <f>' VV - Example'!G29</f>
        <v>Enter Data</v>
      </c>
      <c r="G29" s="1"/>
      <c r="H29" s="1"/>
      <c r="I29" s="1"/>
    </row>
    <row r="30" spans="1:9" x14ac:dyDescent="0.2">
      <c r="A30" s="4" t="s">
        <v>18</v>
      </c>
      <c r="B30" s="1"/>
      <c r="C30" s="1"/>
      <c r="D30" s="1"/>
      <c r="E30" s="1"/>
      <c r="F30" s="5" t="str">
        <f>' VV - Example'!G30</f>
        <v>Enter Data</v>
      </c>
      <c r="G30" s="1"/>
      <c r="H30" s="1"/>
      <c r="I30" s="1"/>
    </row>
    <row r="31" spans="1:9" x14ac:dyDescent="0.2">
      <c r="A31" s="4" t="s">
        <v>10</v>
      </c>
      <c r="B31" s="1"/>
      <c r="C31" s="1"/>
      <c r="D31" s="1"/>
      <c r="E31" s="1"/>
      <c r="F31" s="5" t="str">
        <f>' VV - Example'!G31</f>
        <v>Enter Data</v>
      </c>
      <c r="G31" s="1"/>
      <c r="H31" s="1"/>
      <c r="I31" s="1"/>
    </row>
    <row r="32" spans="1:9" x14ac:dyDescent="0.2">
      <c r="A32" s="4" t="s">
        <v>11</v>
      </c>
      <c r="B32" s="1"/>
      <c r="C32" s="1"/>
      <c r="D32" s="1"/>
      <c r="E32" s="1"/>
      <c r="F32" s="5" t="str">
        <f>' VV - Example'!G32</f>
        <v>Enter Data</v>
      </c>
      <c r="G32" s="1"/>
      <c r="H32" s="1"/>
      <c r="I32" s="1"/>
    </row>
    <row r="33" spans="1:9" s="325" customFormat="1" ht="22.5" x14ac:dyDescent="0.2">
      <c r="A33" s="7" t="s">
        <v>19</v>
      </c>
      <c r="B33" s="7" t="s">
        <v>28</v>
      </c>
      <c r="C33" s="7" t="s">
        <v>29</v>
      </c>
      <c r="D33" s="7" t="s">
        <v>20</v>
      </c>
      <c r="E33" s="7" t="s">
        <v>30</v>
      </c>
      <c r="F33" s="7" t="s">
        <v>31</v>
      </c>
      <c r="G33" s="7" t="s">
        <v>21</v>
      </c>
      <c r="H33" s="7" t="s">
        <v>32</v>
      </c>
      <c r="I33" s="7" t="s">
        <v>276</v>
      </c>
    </row>
    <row r="34" spans="1:9" x14ac:dyDescent="0.2">
      <c r="A34" s="127">
        <f>' VV - Example'!A34</f>
        <v>1</v>
      </c>
      <c r="B34" s="5" t="str">
        <f>' VV - Example'!C34</f>
        <v>O</v>
      </c>
      <c r="C34" s="5" t="str">
        <f>' VV - Example'!D34</f>
        <v>0010</v>
      </c>
      <c r="D34" s="5" t="str">
        <f>' VV - Example'!E34</f>
        <v>WIO</v>
      </c>
      <c r="E34" s="143">
        <f>' VV - Example'!F34</f>
        <v>800000.12</v>
      </c>
      <c r="F34" s="142"/>
      <c r="G34" s="143"/>
      <c r="H34" s="5" t="str">
        <f>' VV - Example'!I34</f>
        <v>211001A000</v>
      </c>
      <c r="I34" s="320">
        <f>' VV - Example'!J34</f>
        <v>0</v>
      </c>
    </row>
    <row r="35" spans="1:9" x14ac:dyDescent="0.2">
      <c r="A35" s="127">
        <f>' VV - Example'!A35</f>
        <v>2</v>
      </c>
      <c r="B35" s="5" t="str">
        <f>' VV - Example'!C35</f>
        <v>O</v>
      </c>
      <c r="C35" s="5" t="str">
        <f>' VV - Example'!D35</f>
        <v>2010</v>
      </c>
      <c r="D35" s="5" t="str">
        <f>' VV - Example'!E35</f>
        <v>ROY</v>
      </c>
      <c r="E35" s="143">
        <f>' VV - Example'!F35</f>
        <v>100000.02</v>
      </c>
      <c r="F35" s="142"/>
      <c r="G35" s="143"/>
      <c r="H35" s="5" t="str">
        <f>' VV - Example'!I35</f>
        <v>211001A000</v>
      </c>
      <c r="I35" s="320">
        <f>' VV - Example'!J35</f>
        <v>0</v>
      </c>
    </row>
    <row r="36" spans="1:9" x14ac:dyDescent="0.2">
      <c r="A36" s="127">
        <f>' VV - Example'!A36</f>
        <v>3</v>
      </c>
      <c r="B36" s="5" t="str">
        <f>' VV - Example'!C36</f>
        <v>O</v>
      </c>
      <c r="C36" s="5" t="str">
        <f>' VV - Example'!D36</f>
        <v>2010</v>
      </c>
      <c r="D36" s="5" t="str">
        <f>' VV - Example'!E36</f>
        <v>RIV</v>
      </c>
      <c r="E36" s="143">
        <f>' VV - Example'!F36</f>
        <v>90000.018000000011</v>
      </c>
      <c r="F36" s="142"/>
      <c r="G36" s="143"/>
      <c r="H36" s="5" t="str">
        <f>' VV - Example'!I36</f>
        <v>211001A000</v>
      </c>
      <c r="I36" s="320">
        <f>' VV - Example'!J36</f>
        <v>0</v>
      </c>
    </row>
    <row r="37" spans="1:9" x14ac:dyDescent="0.2">
      <c r="A37" s="127">
        <f>' VV - Example'!A37</f>
        <v>4</v>
      </c>
      <c r="B37" s="5" t="str">
        <f>' VV - Example'!C37</f>
        <v>O</v>
      </c>
      <c r="C37" s="5" t="str">
        <f>' VV - Example'!D37</f>
        <v>2010</v>
      </c>
      <c r="D37" s="5" t="str">
        <f>' VV - Example'!E37</f>
        <v>RIK</v>
      </c>
      <c r="E37" s="143">
        <f>' VV - Example'!F37</f>
        <v>10000.002</v>
      </c>
      <c r="F37" s="142"/>
      <c r="G37" s="143"/>
      <c r="H37" s="5" t="str">
        <f>' VV - Example'!I37</f>
        <v>211001A000</v>
      </c>
      <c r="I37" s="320">
        <f>' VV - Example'!J37</f>
        <v>0</v>
      </c>
    </row>
    <row r="38" spans="1:9" x14ac:dyDescent="0.2">
      <c r="A38" s="127">
        <f>' VV - Example'!A38</f>
        <v>5</v>
      </c>
      <c r="B38" s="5" t="str">
        <f>' VV - Example'!C38</f>
        <v>O</v>
      </c>
      <c r="C38" s="5" t="str">
        <f>' VV - Example'!D38</f>
        <v>2010</v>
      </c>
      <c r="D38" s="5" t="str">
        <f>' VV - Example'!E38</f>
        <v>SV</v>
      </c>
      <c r="E38" s="143"/>
      <c r="F38" s="142">
        <f>' VV - Example'!G38</f>
        <v>105.44456</v>
      </c>
      <c r="G38" s="143"/>
      <c r="H38" s="5" t="str">
        <f>' VV - Example'!I38</f>
        <v>211001A000</v>
      </c>
      <c r="I38" s="320">
        <f>' VV - Example'!J38</f>
        <v>0</v>
      </c>
    </row>
    <row r="39" spans="1:9" x14ac:dyDescent="0.2">
      <c r="A39" s="127">
        <f>' VV - Example'!A39</f>
        <v>6</v>
      </c>
      <c r="B39" s="5" t="str">
        <f>' VV - Example'!C39</f>
        <v>O</v>
      </c>
      <c r="C39" s="5" t="str">
        <f>' VV - Example'!D39</f>
        <v>2010</v>
      </c>
      <c r="D39" s="5" t="str">
        <f>' VV - Example'!E39</f>
        <v>KTM</v>
      </c>
      <c r="E39" s="143"/>
      <c r="F39" s="142">
        <f>' VV - Example'!G39</f>
        <v>-0.22234000000000001</v>
      </c>
      <c r="G39" s="143"/>
      <c r="H39" s="5" t="str">
        <f>' VV - Example'!I39</f>
        <v>211001A000</v>
      </c>
      <c r="I39" s="320">
        <f>' VV - Example'!J39</f>
        <v>0</v>
      </c>
    </row>
    <row r="40" spans="1:9" x14ac:dyDescent="0.2">
      <c r="A40" s="127">
        <f>' VV - Example'!A40</f>
        <v>7</v>
      </c>
      <c r="B40" s="5" t="str">
        <f>' VV - Example'!C40</f>
        <v>O</v>
      </c>
      <c r="C40" s="5" t="str">
        <f>' VV - Example'!D40</f>
        <v>2010</v>
      </c>
      <c r="D40" s="5" t="str">
        <f>' VV - Example'!E40</f>
        <v>TT</v>
      </c>
      <c r="E40" s="143"/>
      <c r="F40" s="142">
        <f>' VV - Example'!G40</f>
        <v>-4.8678900000000001</v>
      </c>
      <c r="G40" s="143"/>
      <c r="H40" s="5" t="str">
        <f>' VV - Example'!I40</f>
        <v>211001A000</v>
      </c>
      <c r="I40" s="320">
        <f>' VV - Example'!J40</f>
        <v>0</v>
      </c>
    </row>
    <row r="41" spans="1:9" x14ac:dyDescent="0.2">
      <c r="A41" s="127">
        <f>' VV - Example'!A41</f>
        <v>8</v>
      </c>
      <c r="B41" s="5" t="str">
        <f>' VV - Example'!C41</f>
        <v>O</v>
      </c>
      <c r="C41" s="5" t="str">
        <f>' VV - Example'!D41</f>
        <v>2010</v>
      </c>
      <c r="D41" s="5" t="str">
        <f>' VV - Example'!E41</f>
        <v>L</v>
      </c>
      <c r="E41" s="143"/>
      <c r="F41" s="142">
        <f>' VV - Example'!G41</f>
        <v>-0.09</v>
      </c>
      <c r="G41" s="143"/>
      <c r="H41" s="5" t="str">
        <f>' VV - Example'!I41</f>
        <v>211001A000</v>
      </c>
      <c r="I41" s="320">
        <f>' VV - Example'!J41</f>
        <v>0</v>
      </c>
    </row>
    <row r="42" spans="1:9" x14ac:dyDescent="0.2">
      <c r="A42" s="127">
        <f>' VV - Example'!A42</f>
        <v>9</v>
      </c>
      <c r="B42" s="5" t="str">
        <f>' VV - Example'!C42</f>
        <v>O</v>
      </c>
      <c r="C42" s="5" t="str">
        <f>' VV - Example'!D42</f>
        <v>2010</v>
      </c>
      <c r="D42" s="5" t="str">
        <f>' VV - Example'!E42</f>
        <v>QA</v>
      </c>
      <c r="E42" s="143"/>
      <c r="F42" s="142">
        <f>' VV - Example'!G42</f>
        <v>-1.19</v>
      </c>
      <c r="G42" s="143"/>
      <c r="H42" s="5" t="str">
        <f>' VV - Example'!I42</f>
        <v>211001A000</v>
      </c>
      <c r="I42" s="320">
        <f>' VV - Example'!J42</f>
        <v>0</v>
      </c>
    </row>
    <row r="43" spans="1:9" x14ac:dyDescent="0.2">
      <c r="A43" s="127">
        <f>' VV - Example'!A43</f>
        <v>10</v>
      </c>
      <c r="B43" s="5" t="str">
        <f>' VV - Example'!C43</f>
        <v>O</v>
      </c>
      <c r="C43" s="5" t="str">
        <f>' VV - Example'!D43</f>
        <v>2010</v>
      </c>
      <c r="D43" s="5" t="str">
        <f>' VV - Example'!E43</f>
        <v>MT</v>
      </c>
      <c r="E43" s="143"/>
      <c r="F43" s="142">
        <f>' VV - Example'!G43</f>
        <v>-1.37</v>
      </c>
      <c r="G43" s="143"/>
      <c r="H43" s="5" t="str">
        <f>' VV - Example'!I43</f>
        <v>211001A000</v>
      </c>
      <c r="I43" s="320">
        <f>' VV - Example'!J43</f>
        <v>0</v>
      </c>
    </row>
    <row r="44" spans="1:9" x14ac:dyDescent="0.2">
      <c r="A44" s="127">
        <f>' VV - Example'!A44</f>
        <v>11</v>
      </c>
      <c r="B44" s="5" t="str">
        <f>' VV - Example'!C44</f>
        <v>O</v>
      </c>
      <c r="C44" s="5" t="str">
        <f>' VV - Example'!D44</f>
        <v>2010</v>
      </c>
      <c r="D44" s="5" t="str">
        <f>' VV - Example'!E44</f>
        <v>SVA</v>
      </c>
      <c r="E44" s="143"/>
      <c r="F44" s="142">
        <f>' VV - Example'!G44</f>
        <v>0</v>
      </c>
      <c r="G44" s="143"/>
      <c r="H44" s="5" t="str">
        <f>' VV - Example'!I44</f>
        <v>211001A000</v>
      </c>
      <c r="I44" s="320">
        <f>' VV - Example'!J44</f>
        <v>0</v>
      </c>
    </row>
    <row r="45" spans="1:9" x14ac:dyDescent="0.2">
      <c r="A45" s="127">
        <f>' VV - Example'!A45</f>
        <v>12</v>
      </c>
      <c r="B45" s="5" t="str">
        <f>' VV - Example'!C45</f>
        <v>O</v>
      </c>
      <c r="C45" s="5" t="str">
        <f>' VV - Example'!D45</f>
        <v>2010</v>
      </c>
      <c r="D45" s="5" t="str">
        <f>' VV - Example'!E45</f>
        <v>TADJ</v>
      </c>
      <c r="E45" s="143"/>
      <c r="F45" s="142">
        <f>' VV - Example'!G45</f>
        <v>0</v>
      </c>
      <c r="G45" s="143"/>
      <c r="H45" s="5" t="str">
        <f>' VV - Example'!I45</f>
        <v>211001A000</v>
      </c>
      <c r="I45" s="320">
        <f>' VV - Example'!J45</f>
        <v>0</v>
      </c>
    </row>
    <row r="46" spans="1:9" x14ac:dyDescent="0.2">
      <c r="A46" s="127">
        <f>' VV - Example'!A46</f>
        <v>13</v>
      </c>
      <c r="B46" s="5" t="str">
        <f>' VV - Example'!C46</f>
        <v>O</v>
      </c>
      <c r="C46" s="5" t="str">
        <f>' VV - Example'!D46</f>
        <v>2010</v>
      </c>
      <c r="D46" s="5" t="str">
        <f>' VV - Example'!E46</f>
        <v>AA</v>
      </c>
      <c r="E46" s="143"/>
      <c r="F46" s="142">
        <f>' VV - Example'!G46</f>
        <v>0</v>
      </c>
      <c r="G46" s="143"/>
      <c r="H46" s="5" t="str">
        <f>' VV - Example'!I46</f>
        <v>211001A000</v>
      </c>
      <c r="I46" s="320">
        <f>' VV - Example'!J46</f>
        <v>0</v>
      </c>
    </row>
    <row r="47" spans="1:9" x14ac:dyDescent="0.2">
      <c r="A47" s="127">
        <f>' VV - Example'!A47</f>
        <v>14</v>
      </c>
      <c r="B47" s="5" t="str">
        <f>' VV - Example'!C47</f>
        <v>O</v>
      </c>
      <c r="C47" s="5" t="str">
        <f>' VV - Example'!D47</f>
        <v>2010</v>
      </c>
      <c r="D47" s="5" t="str">
        <f>' VV - Example'!E47</f>
        <v>RV</v>
      </c>
      <c r="E47" s="143"/>
      <c r="F47" s="142">
        <f>' VV - Example'!G47</f>
        <v>97.704329999999985</v>
      </c>
      <c r="G47" s="143"/>
      <c r="H47" s="5" t="str">
        <f>' VV - Example'!I47</f>
        <v>211001A000</v>
      </c>
      <c r="I47" s="320">
        <f>' VV - Example'!J47</f>
        <v>0</v>
      </c>
    </row>
    <row r="48" spans="1:9" x14ac:dyDescent="0.2">
      <c r="A48" s="127">
        <f>' VV - Example'!A48</f>
        <v>15</v>
      </c>
      <c r="B48" s="5" t="str">
        <f>' VV - Example'!C48</f>
        <v>O</v>
      </c>
      <c r="C48" s="5" t="str">
        <f>' VV - Example'!D48</f>
        <v>2010</v>
      </c>
      <c r="D48" s="5" t="str">
        <f>' VV - Example'!E48</f>
        <v>FC</v>
      </c>
      <c r="E48" s="143"/>
      <c r="F48" s="142">
        <f>' VV - Example'!G48</f>
        <v>0</v>
      </c>
      <c r="G48" s="143"/>
      <c r="H48" s="5" t="str">
        <f>' VV - Example'!I48</f>
        <v>211001A000</v>
      </c>
      <c r="I48" s="320">
        <f>' VV - Example'!J48</f>
        <v>0</v>
      </c>
    </row>
    <row r="49" spans="1:9" x14ac:dyDescent="0.2">
      <c r="A49" s="127">
        <f>' VV - Example'!A49</f>
        <v>16</v>
      </c>
      <c r="B49" s="5" t="str">
        <f>' VV - Example'!C49</f>
        <v>O</v>
      </c>
      <c r="C49" s="5" t="str">
        <f>' VV - Example'!D49</f>
        <v>2010</v>
      </c>
      <c r="D49" s="5" t="str">
        <f>' VV - Example'!E49</f>
        <v>WH</v>
      </c>
      <c r="E49" s="143"/>
      <c r="F49" s="142">
        <f>' VV - Example'!G49</f>
        <v>97.704329999999985</v>
      </c>
      <c r="G49" s="143"/>
      <c r="H49" s="5" t="str">
        <f>' VV - Example'!I49</f>
        <v>211001A000</v>
      </c>
      <c r="I49" s="320">
        <f>' VV - Example'!J49</f>
        <v>0</v>
      </c>
    </row>
    <row r="50" spans="1:9" x14ac:dyDescent="0.2">
      <c r="A50" s="127">
        <f>' VV - Example'!A50</f>
        <v>17</v>
      </c>
      <c r="B50" s="5" t="str">
        <f>' VV - Example'!C50</f>
        <v>O</v>
      </c>
      <c r="C50" s="5" t="str">
        <f>' VV - Example'!D50</f>
        <v>2010</v>
      </c>
      <c r="D50" s="5" t="str">
        <f>' VV - Example'!E50</f>
        <v>SADJ</v>
      </c>
      <c r="E50" s="143"/>
      <c r="F50" s="142"/>
      <c r="G50" s="143">
        <f>' VV - Example'!H50</f>
        <v>0</v>
      </c>
      <c r="H50" s="5" t="str">
        <f>' VV - Example'!I50</f>
        <v>211001A000</v>
      </c>
      <c r="I50" s="320">
        <f>' VV - Example'!J50</f>
        <v>0</v>
      </c>
    </row>
    <row r="51" spans="1:9" x14ac:dyDescent="0.2">
      <c r="A51" s="127">
        <f>' VV - Example'!A51</f>
        <v>18</v>
      </c>
      <c r="B51" s="5" t="str">
        <f>' VV - Example'!C51</f>
        <v>O</v>
      </c>
      <c r="C51" s="5" t="str">
        <f>' VV - Example'!D51</f>
        <v>2010</v>
      </c>
      <c r="D51" s="5" t="str">
        <f>' VV - Example'!E51</f>
        <v>TV</v>
      </c>
      <c r="E51" s="143"/>
      <c r="F51" s="142" t="str">
        <f>' VV - Example'!G51</f>
        <v xml:space="preserve"> </v>
      </c>
      <c r="G51" s="143">
        <f>' VV - Example'!H51</f>
        <v>78163475.719999999</v>
      </c>
      <c r="H51" s="5" t="str">
        <f>' VV - Example'!I51</f>
        <v>211001A000</v>
      </c>
      <c r="I51" s="320">
        <f>' VV - Example'!J51</f>
        <v>0</v>
      </c>
    </row>
    <row r="52" spans="1:9" x14ac:dyDescent="0.2">
      <c r="A52" s="127">
        <f>' VV - Example'!A52</f>
        <v>19</v>
      </c>
      <c r="B52" s="5" t="str">
        <f>' VV - Example'!C52</f>
        <v>O</v>
      </c>
      <c r="C52" s="5" t="str">
        <f>' VV - Example'!D52</f>
        <v>2010</v>
      </c>
      <c r="D52" s="5" t="str">
        <f>' VV - Example'!E52</f>
        <v>RYE</v>
      </c>
      <c r="E52" s="143"/>
      <c r="F52" s="142"/>
      <c r="G52" s="143">
        <f>' VV - Example'!H52</f>
        <v>9770434.9499999993</v>
      </c>
      <c r="H52" s="5" t="str">
        <f>' VV - Example'!I52</f>
        <v>211001A000</v>
      </c>
      <c r="I52" s="320">
        <f>' VV - Example'!J52</f>
        <v>0</v>
      </c>
    </row>
    <row r="53" spans="1:9" x14ac:dyDescent="0.2">
      <c r="A53" s="127">
        <f>' VV - Example'!A53</f>
        <v>20</v>
      </c>
      <c r="B53" s="5" t="str">
        <f>' VV - Example'!C53</f>
        <v>O</v>
      </c>
      <c r="C53" s="5" t="str">
        <f>' VV - Example'!D53</f>
        <v>2010</v>
      </c>
      <c r="D53" s="5" t="str">
        <f>' VV - Example'!E53</f>
        <v>ACR</v>
      </c>
      <c r="E53" s="143"/>
      <c r="F53" s="142">
        <f>' VV - Example'!G53</f>
        <v>0.19839999999999999</v>
      </c>
      <c r="G53" s="143"/>
      <c r="H53" s="5" t="str">
        <f>' VV - Example'!I53</f>
        <v>211001A000</v>
      </c>
      <c r="I53" s="320">
        <f>' VV - Example'!J53</f>
        <v>0</v>
      </c>
    </row>
    <row r="54" spans="1:9" x14ac:dyDescent="0.2">
      <c r="A54" s="127">
        <f>' VV - Example'!A54</f>
        <v>21</v>
      </c>
      <c r="B54" s="5" t="str">
        <f>' VV - Example'!C54</f>
        <v>O</v>
      </c>
      <c r="C54" s="5" t="str">
        <f>' VV - Example'!D54</f>
        <v>2010</v>
      </c>
      <c r="D54" s="5" t="str">
        <f>' VV - Example'!E54</f>
        <v>AC</v>
      </c>
      <c r="E54" s="143"/>
      <c r="F54" s="142" t="str">
        <f>' VV - Example'!G54</f>
        <v xml:space="preserve"> </v>
      </c>
      <c r="G54" s="143">
        <f>' VV - Example'!H54</f>
        <v>158720.01999999999</v>
      </c>
      <c r="H54" s="5" t="str">
        <f>' VV - Example'!I54</f>
        <v>211001A000</v>
      </c>
      <c r="I54" s="320">
        <f>' VV - Example'!J54</f>
        <v>0</v>
      </c>
    </row>
    <row r="55" spans="1:9" x14ac:dyDescent="0.2">
      <c r="A55" s="127">
        <f>' VV - Example'!A55</f>
        <v>22</v>
      </c>
      <c r="B55" s="5" t="str">
        <f>' VV - Example'!C55</f>
        <v>O</v>
      </c>
      <c r="C55" s="5" t="str">
        <f>' VV - Example'!D55</f>
        <v>2010</v>
      </c>
      <c r="D55" s="5" t="str">
        <f>' VV - Example'!E55</f>
        <v>CAPFR</v>
      </c>
      <c r="E55" s="143"/>
      <c r="F55" s="142">
        <f>' VV - Example'!G55</f>
        <v>0.96</v>
      </c>
      <c r="G55" s="143"/>
      <c r="H55" s="5" t="str">
        <f>' VV - Example'!I55</f>
        <v>211001A000</v>
      </c>
      <c r="I55" s="320">
        <f>' VV - Example'!J55</f>
        <v>0</v>
      </c>
    </row>
    <row r="56" spans="1:9" x14ac:dyDescent="0.2">
      <c r="A56" s="127">
        <f>' VV - Example'!A56</f>
        <v>23</v>
      </c>
      <c r="B56" s="5" t="str">
        <f>' VV - Example'!C56</f>
        <v>O</v>
      </c>
      <c r="C56" s="5" t="str">
        <f>' VV - Example'!D56</f>
        <v>2010</v>
      </c>
      <c r="D56" s="5" t="str">
        <f>' VV - Example'!E56</f>
        <v>CAPF</v>
      </c>
      <c r="E56" s="143"/>
      <c r="F56" s="142"/>
      <c r="G56" s="143">
        <f>' VV - Example'!H56</f>
        <v>768000.12</v>
      </c>
      <c r="H56" s="5" t="str">
        <f>' VV - Example'!I56</f>
        <v>211001A000</v>
      </c>
      <c r="I56" s="320">
        <f>' VV - Example'!J56</f>
        <v>0</v>
      </c>
    </row>
    <row r="57" spans="1:9" x14ac:dyDescent="0.2">
      <c r="A57" s="127">
        <f>' VV - Example'!A57</f>
        <v>24</v>
      </c>
      <c r="B57" s="5" t="str">
        <f>' VV - Example'!C57</f>
        <v>D</v>
      </c>
      <c r="C57" s="5" t="str">
        <f>' VV - Example'!D57</f>
        <v>0300</v>
      </c>
      <c r="D57" s="5" t="str">
        <f>' VV - Example'!E57</f>
        <v>WIO</v>
      </c>
      <c r="E57" s="143">
        <f>' VV - Example'!F57</f>
        <v>1886.69</v>
      </c>
      <c r="F57" s="142"/>
      <c r="G57" s="143"/>
      <c r="H57" s="5" t="str">
        <f>' VV - Example'!I57</f>
        <v>211001A000</v>
      </c>
      <c r="I57" s="320">
        <f>' VV - Example'!J57</f>
        <v>0</v>
      </c>
    </row>
    <row r="58" spans="1:9" x14ac:dyDescent="0.2">
      <c r="A58" s="127">
        <f>' VV - Example'!A58</f>
        <v>25</v>
      </c>
      <c r="B58" s="5" t="str">
        <f>' VV - Example'!C58</f>
        <v>D</v>
      </c>
      <c r="C58" s="5" t="str">
        <f>' VV - Example'!D58</f>
        <v>2300</v>
      </c>
      <c r="D58" s="5" t="str">
        <f>' VV - Example'!E58</f>
        <v>ROY</v>
      </c>
      <c r="E58" s="143">
        <f>' VV - Example'!F58</f>
        <v>235.84</v>
      </c>
      <c r="F58" s="142"/>
      <c r="G58" s="143"/>
      <c r="H58" s="5" t="str">
        <f>' VV - Example'!I58</f>
        <v>211001A000</v>
      </c>
      <c r="I58" s="320">
        <f>' VV - Example'!J58</f>
        <v>0</v>
      </c>
    </row>
    <row r="59" spans="1:9" x14ac:dyDescent="0.2">
      <c r="A59" s="127">
        <f>' VV - Example'!A59</f>
        <v>26</v>
      </c>
      <c r="B59" s="5" t="str">
        <f>' VV - Example'!C59</f>
        <v>D</v>
      </c>
      <c r="C59" s="5" t="str">
        <f>' VV - Example'!D59</f>
        <v>2300</v>
      </c>
      <c r="D59" s="5" t="str">
        <f>' VV - Example'!E59</f>
        <v>ROYB</v>
      </c>
      <c r="E59" s="143">
        <f>' VV - Example'!F59</f>
        <v>39.306666666666665</v>
      </c>
      <c r="F59" s="142"/>
      <c r="G59" s="143"/>
      <c r="H59" s="5" t="str">
        <f>' VV - Example'!I59</f>
        <v>211001A000</v>
      </c>
      <c r="I59" s="320">
        <f>' VV - Example'!J59</f>
        <v>0</v>
      </c>
    </row>
    <row r="60" spans="1:9" x14ac:dyDescent="0.2">
      <c r="A60" s="127">
        <f>' VV - Example'!A60</f>
        <v>27</v>
      </c>
      <c r="B60" s="5" t="str">
        <f>' VV - Example'!C60</f>
        <v>D</v>
      </c>
      <c r="C60" s="5" t="str">
        <f>' VV - Example'!D60</f>
        <v>2300</v>
      </c>
      <c r="D60" s="5" t="str">
        <f>' VV - Example'!E60</f>
        <v>RIV</v>
      </c>
      <c r="E60" s="143">
        <f>' VV - Example'!F60</f>
        <v>212.26</v>
      </c>
      <c r="F60" s="142"/>
      <c r="G60" s="143"/>
      <c r="H60" s="5" t="str">
        <f>' VV - Example'!I60</f>
        <v>211001A000</v>
      </c>
      <c r="I60" s="320">
        <f>' VV - Example'!J60</f>
        <v>0</v>
      </c>
    </row>
    <row r="61" spans="1:9" x14ac:dyDescent="0.2">
      <c r="A61" s="127">
        <f>' VV - Example'!A61</f>
        <v>28</v>
      </c>
      <c r="B61" s="5" t="str">
        <f>' VV - Example'!C61</f>
        <v>D</v>
      </c>
      <c r="C61" s="5" t="str">
        <f>' VV - Example'!D61</f>
        <v>2300</v>
      </c>
      <c r="D61" s="5" t="str">
        <f>' VV - Example'!E61</f>
        <v>RIK</v>
      </c>
      <c r="E61" s="143">
        <f>' VV - Example'!F61</f>
        <v>23.58</v>
      </c>
      <c r="F61" s="142"/>
      <c r="G61" s="143"/>
      <c r="H61" s="5" t="str">
        <f>' VV - Example'!I61</f>
        <v>211001A000</v>
      </c>
      <c r="I61" s="320">
        <f>' VV - Example'!J61</f>
        <v>0</v>
      </c>
    </row>
    <row r="62" spans="1:9" x14ac:dyDescent="0.2">
      <c r="A62" s="127">
        <f>' VV - Example'!A62</f>
        <v>29</v>
      </c>
      <c r="B62" s="5" t="str">
        <f>' VV - Example'!C62</f>
        <v>D</v>
      </c>
      <c r="C62" s="5" t="str">
        <f>' VV - Example'!D62</f>
        <v>2300</v>
      </c>
      <c r="D62" s="5" t="str">
        <f>' VV - Example'!E62</f>
        <v>SV</v>
      </c>
      <c r="E62" s="143"/>
      <c r="F62" s="142">
        <f>' VV - Example'!G62</f>
        <v>3.58</v>
      </c>
      <c r="G62" s="143"/>
      <c r="H62" s="5" t="str">
        <f>' VV - Example'!I62</f>
        <v>211001A000</v>
      </c>
      <c r="I62" s="320">
        <f>' VV - Example'!J62</f>
        <v>0</v>
      </c>
    </row>
    <row r="63" spans="1:9" x14ac:dyDescent="0.2">
      <c r="A63" s="127">
        <f>' VV - Example'!A63</f>
        <v>30</v>
      </c>
      <c r="B63" s="5" t="str">
        <f>' VV - Example'!C63</f>
        <v>D</v>
      </c>
      <c r="C63" s="5" t="str">
        <f>' VV - Example'!D63</f>
        <v>2300</v>
      </c>
      <c r="D63" s="5" t="str">
        <f>' VV - Example'!E63</f>
        <v>RV</v>
      </c>
      <c r="E63" s="143"/>
      <c r="F63" s="142">
        <f>' VV - Example'!G63</f>
        <v>3.58</v>
      </c>
      <c r="G63" s="143"/>
      <c r="H63" s="5" t="str">
        <f>' VV - Example'!I63</f>
        <v>211001A000</v>
      </c>
      <c r="I63" s="320">
        <f>' VV - Example'!J63</f>
        <v>0</v>
      </c>
    </row>
    <row r="64" spans="1:9" x14ac:dyDescent="0.2">
      <c r="A64" s="127">
        <f>' VV - Example'!A64</f>
        <v>31</v>
      </c>
      <c r="B64" s="5" t="str">
        <f>' VV - Example'!C64</f>
        <v>D</v>
      </c>
      <c r="C64" s="5" t="str">
        <f>' VV - Example'!D64</f>
        <v>2300</v>
      </c>
      <c r="D64" s="5" t="str">
        <f>' VV - Example'!E64</f>
        <v>FC</v>
      </c>
      <c r="E64" s="143"/>
      <c r="F64" s="142">
        <f>' VV - Example'!G64</f>
        <v>0</v>
      </c>
      <c r="G64" s="143"/>
      <c r="H64" s="5" t="str">
        <f>' VV - Example'!I64</f>
        <v>211001A000</v>
      </c>
      <c r="I64" s="320">
        <f>' VV - Example'!J64</f>
        <v>0</v>
      </c>
    </row>
    <row r="65" spans="1:9" x14ac:dyDescent="0.2">
      <c r="A65" s="127">
        <f>' VV - Example'!A65</f>
        <v>32</v>
      </c>
      <c r="B65" s="5" t="str">
        <f>' VV - Example'!C65</f>
        <v>D</v>
      </c>
      <c r="C65" s="5" t="str">
        <f>' VV - Example'!D65</f>
        <v>2300</v>
      </c>
      <c r="D65" s="5" t="str">
        <f>' VV - Example'!E65</f>
        <v>WH</v>
      </c>
      <c r="E65" s="143"/>
      <c r="F65" s="142">
        <f>' VV - Example'!G65</f>
        <v>3.58</v>
      </c>
      <c r="G65" s="143"/>
      <c r="H65" s="5" t="str">
        <f>' VV - Example'!I65</f>
        <v>211001A000</v>
      </c>
      <c r="I65" s="320">
        <f>' VV - Example'!J65</f>
        <v>0</v>
      </c>
    </row>
    <row r="66" spans="1:9" x14ac:dyDescent="0.2">
      <c r="A66" s="127">
        <f>' VV - Example'!A66</f>
        <v>33</v>
      </c>
      <c r="B66" s="5" t="str">
        <f>' VV - Example'!C66</f>
        <v>D</v>
      </c>
      <c r="C66" s="5" t="str">
        <f>' VV - Example'!D66</f>
        <v>2300</v>
      </c>
      <c r="D66" s="5" t="str">
        <f>' VV - Example'!E66</f>
        <v>SADJ</v>
      </c>
      <c r="E66" s="143"/>
      <c r="F66" s="142"/>
      <c r="G66" s="143">
        <f>' VV - Example'!H66</f>
        <v>0</v>
      </c>
      <c r="H66" s="5" t="str">
        <f>' VV - Example'!I66</f>
        <v>211001A000</v>
      </c>
      <c r="I66" s="320">
        <f>' VV - Example'!J66</f>
        <v>0</v>
      </c>
    </row>
    <row r="67" spans="1:9" x14ac:dyDescent="0.2">
      <c r="A67" s="127">
        <f>' VV - Example'!A67</f>
        <v>34</v>
      </c>
      <c r="B67" s="5" t="str">
        <f>' VV - Example'!C67</f>
        <v>D</v>
      </c>
      <c r="C67" s="5" t="str">
        <f>' VV - Example'!D67</f>
        <v>2300</v>
      </c>
      <c r="D67" s="5" t="str">
        <f>' VV - Example'!E67</f>
        <v>TV</v>
      </c>
      <c r="E67" s="143"/>
      <c r="F67" s="142"/>
      <c r="G67" s="143">
        <f>' VV - Example'!H67</f>
        <v>6754.35</v>
      </c>
      <c r="H67" s="5" t="str">
        <f>' VV - Example'!I67</f>
        <v>211001A000</v>
      </c>
      <c r="I67" s="320">
        <f>' VV - Example'!J67</f>
        <v>0</v>
      </c>
    </row>
    <row r="68" spans="1:9" x14ac:dyDescent="0.2">
      <c r="A68" s="127">
        <f>' VV - Example'!A68</f>
        <v>35</v>
      </c>
      <c r="B68" s="5" t="str">
        <f>' VV - Example'!C68</f>
        <v>D</v>
      </c>
      <c r="C68" s="5" t="str">
        <f>' VV - Example'!D68</f>
        <v>2300</v>
      </c>
      <c r="D68" s="5" t="str">
        <f>' VV - Example'!E68</f>
        <v>RYE</v>
      </c>
      <c r="E68" s="143"/>
      <c r="F68" s="142"/>
      <c r="G68" s="143">
        <f>' VV - Example'!H68</f>
        <v>844.31</v>
      </c>
      <c r="H68" s="5" t="str">
        <f>' VV - Example'!I68</f>
        <v>211001A000</v>
      </c>
      <c r="I68" s="320">
        <f>' VV - Example'!J68</f>
        <v>0</v>
      </c>
    </row>
    <row r="69" spans="1:9" x14ac:dyDescent="0.2">
      <c r="A69" s="127">
        <f>' VV - Example'!A69</f>
        <v>36</v>
      </c>
      <c r="B69" s="5" t="str">
        <f>' VV - Example'!C69</f>
        <v>D</v>
      </c>
      <c r="C69" s="5" t="str">
        <f>' VV - Example'!D69</f>
        <v>2300</v>
      </c>
      <c r="D69" s="5" t="str">
        <f>' VV - Example'!E69</f>
        <v>BOER</v>
      </c>
      <c r="E69" s="143"/>
      <c r="F69" s="142"/>
      <c r="G69" s="143"/>
      <c r="H69" s="5" t="str">
        <f>' VV - Example'!I69</f>
        <v>211001A000</v>
      </c>
      <c r="I69" s="165">
        <f>' VV - Example'!J69</f>
        <v>6</v>
      </c>
    </row>
    <row r="70" spans="1:9" x14ac:dyDescent="0.2">
      <c r="A70" s="127">
        <f>' VV - Example'!A70</f>
        <v>37</v>
      </c>
      <c r="B70" s="5" t="str">
        <f>' VV - Example'!C70</f>
        <v>D</v>
      </c>
      <c r="C70" s="5" t="str">
        <f>' VV - Example'!D70</f>
        <v>0300</v>
      </c>
      <c r="D70" s="5" t="str">
        <f>' VV - Example'!E70</f>
        <v>WIOB</v>
      </c>
      <c r="E70" s="143">
        <f>' VV - Example'!F70</f>
        <v>314.44833333333332</v>
      </c>
      <c r="F70" s="142"/>
      <c r="G70" s="143"/>
      <c r="H70" s="5" t="str">
        <f>' VV - Example'!I70</f>
        <v>211001A000</v>
      </c>
      <c r="I70" s="320">
        <f>' VV - Example'!J70</f>
        <v>0</v>
      </c>
    </row>
    <row r="71" spans="1:9" x14ac:dyDescent="0.2">
      <c r="A71" s="127">
        <f>' VV - Example'!A71</f>
        <v>38</v>
      </c>
      <c r="B71" s="5" t="str">
        <f>' VV - Example'!C71</f>
        <v>D</v>
      </c>
      <c r="C71" s="5" t="str">
        <f>' VV - Example'!D71</f>
        <v>2300</v>
      </c>
      <c r="D71" s="5" t="str">
        <f>' VV - Example'!E71</f>
        <v>ACR</v>
      </c>
      <c r="E71" s="143"/>
      <c r="F71" s="142">
        <f>' VV - Example'!G71</f>
        <v>0.19839999999999999</v>
      </c>
      <c r="G71" s="143"/>
      <c r="H71" s="5" t="str">
        <f>' VV - Example'!I71</f>
        <v>211001A000</v>
      </c>
      <c r="I71" s="320">
        <f>' VV - Example'!J71</f>
        <v>0</v>
      </c>
    </row>
    <row r="72" spans="1:9" x14ac:dyDescent="0.2">
      <c r="A72" s="127">
        <f>' VV - Example'!A72</f>
        <v>39</v>
      </c>
      <c r="B72" s="5" t="str">
        <f>' VV - Example'!C72</f>
        <v>D</v>
      </c>
      <c r="C72" s="5" t="str">
        <f>' VV - Example'!D72</f>
        <v>2300</v>
      </c>
      <c r="D72" s="5" t="str">
        <f>' VV - Example'!E72</f>
        <v>AC</v>
      </c>
      <c r="E72" s="143"/>
      <c r="F72" s="142"/>
      <c r="G72" s="143">
        <f>' VV - Example'!H72</f>
        <v>62.39</v>
      </c>
      <c r="H72" s="5" t="str">
        <f>' VV - Example'!I72</f>
        <v>211001A000</v>
      </c>
      <c r="I72" s="320">
        <f>' VV - Example'!J72</f>
        <v>0</v>
      </c>
    </row>
    <row r="73" spans="1:9" x14ac:dyDescent="0.2">
      <c r="A73" s="127"/>
      <c r="B73" s="5"/>
      <c r="C73" s="5"/>
      <c r="D73" s="5"/>
      <c r="E73" s="143"/>
      <c r="F73" s="142"/>
      <c r="G73" s="143"/>
      <c r="H73" s="5"/>
      <c r="I73" s="5"/>
    </row>
    <row r="74" spans="1:9" x14ac:dyDescent="0.2">
      <c r="A74" s="127"/>
      <c r="B74" s="5"/>
      <c r="C74" s="5"/>
      <c r="D74" s="5"/>
      <c r="E74" s="143"/>
      <c r="F74" s="142"/>
      <c r="G74" s="143"/>
      <c r="H74" s="5"/>
      <c r="I74" s="5"/>
    </row>
    <row r="75" spans="1:9" x14ac:dyDescent="0.2">
      <c r="A75" s="127"/>
      <c r="B75" s="5"/>
      <c r="C75" s="5"/>
      <c r="D75" s="5"/>
      <c r="E75" s="143"/>
      <c r="F75" s="142"/>
      <c r="G75" s="143"/>
      <c r="H75" s="5"/>
      <c r="I75" s="5"/>
    </row>
    <row r="76" spans="1:9" x14ac:dyDescent="0.2">
      <c r="A76" s="127"/>
      <c r="B76" s="5"/>
      <c r="C76" s="5"/>
      <c r="D76" s="5"/>
      <c r="E76" s="143"/>
      <c r="F76" s="142"/>
      <c r="G76" s="143"/>
      <c r="H76" s="5"/>
      <c r="I76" s="165"/>
    </row>
    <row r="77" spans="1:9" x14ac:dyDescent="0.2">
      <c r="A77" s="127"/>
      <c r="B77" s="5"/>
      <c r="C77" s="5"/>
      <c r="D77" s="5"/>
      <c r="E77" s="143"/>
      <c r="F77" s="142"/>
      <c r="G77" s="143"/>
      <c r="H77" s="5"/>
      <c r="I77" s="5"/>
    </row>
    <row r="78" spans="1:9" x14ac:dyDescent="0.2">
      <c r="A78" s="127"/>
      <c r="B78" s="5"/>
      <c r="C78" s="5"/>
      <c r="D78" s="5"/>
      <c r="E78" s="143"/>
      <c r="F78" s="142"/>
      <c r="G78" s="143"/>
      <c r="H78" s="5"/>
      <c r="I78" s="5"/>
    </row>
    <row r="79" spans="1:9" x14ac:dyDescent="0.2">
      <c r="A79" s="127"/>
      <c r="B79" s="5"/>
      <c r="C79" s="5"/>
      <c r="D79" s="5"/>
      <c r="E79" s="143"/>
      <c r="F79" s="142"/>
      <c r="G79" s="143"/>
      <c r="H79" s="5"/>
      <c r="I79" s="5"/>
    </row>
  </sheetData>
  <sheetProtection selectLockedCells="1"/>
  <phoneticPr fontId="2" type="noConversion"/>
  <conditionalFormatting sqref="A34:A79">
    <cfRule type="cellIs" dxfId="3" priority="1" stopIfTrue="1" operator="equal">
      <formula>"A32"</formula>
    </cfRule>
  </conditionalFormatting>
  <printOptions gridLines="1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Normal="100" workbookViewId="0">
      <selection activeCell="F34" sqref="F34"/>
    </sheetView>
  </sheetViews>
  <sheetFormatPr defaultRowHeight="11.25" x14ac:dyDescent="0.2"/>
  <cols>
    <col min="1" max="1" width="4.7109375" style="82" customWidth="1"/>
    <col min="2" max="2" width="0.85546875" style="82" customWidth="1"/>
    <col min="3" max="3" width="9.28515625" style="82" customWidth="1"/>
    <col min="4" max="4" width="10.85546875" style="82" customWidth="1"/>
    <col min="5" max="5" width="11.140625" style="82" bestFit="1" customWidth="1"/>
    <col min="6" max="6" width="9.85546875" style="82" bestFit="1" customWidth="1"/>
    <col min="7" max="7" width="16.140625" style="83" customWidth="1"/>
    <col min="8" max="8" width="12.85546875" style="116" customWidth="1"/>
    <col min="9" max="9" width="11.85546875" style="116" customWidth="1"/>
    <col min="10" max="10" width="13.42578125" style="116" customWidth="1"/>
    <col min="11" max="11" width="40" style="327" customWidth="1"/>
    <col min="12" max="12" width="10.28515625" style="327" customWidth="1"/>
    <col min="13" max="16384" width="9.140625" style="327"/>
  </cols>
  <sheetData>
    <row r="1" spans="1:17" ht="37.5" customHeight="1" x14ac:dyDescent="0.2">
      <c r="A1" s="15" t="s">
        <v>430</v>
      </c>
      <c r="B1" s="59"/>
      <c r="C1" s="326"/>
      <c r="D1" s="59"/>
      <c r="E1" s="59"/>
      <c r="F1" s="59"/>
      <c r="G1" s="60"/>
      <c r="H1" s="59"/>
      <c r="I1" s="59"/>
      <c r="J1" s="59"/>
    </row>
    <row r="2" spans="1:17" x14ac:dyDescent="0.2">
      <c r="A2" s="23" t="s">
        <v>39</v>
      </c>
      <c r="B2" s="33"/>
      <c r="C2" s="35"/>
      <c r="D2" s="35" t="s">
        <v>321</v>
      </c>
      <c r="E2" s="35"/>
      <c r="F2" s="35"/>
      <c r="G2" s="101" t="s">
        <v>35</v>
      </c>
      <c r="H2" s="34"/>
      <c r="I2" s="35"/>
      <c r="J2" s="35"/>
      <c r="K2" s="61"/>
    </row>
    <row r="3" spans="1:17" ht="13.5" customHeight="1" x14ac:dyDescent="0.2">
      <c r="A3" s="33" t="s">
        <v>33</v>
      </c>
      <c r="B3" s="33"/>
      <c r="C3" s="35"/>
      <c r="D3" s="35" t="s">
        <v>322</v>
      </c>
      <c r="E3" s="35"/>
      <c r="F3" s="35"/>
      <c r="G3" s="101" t="s">
        <v>36</v>
      </c>
      <c r="H3" s="34"/>
      <c r="I3" s="102"/>
      <c r="J3" s="102"/>
      <c r="K3" s="61"/>
    </row>
    <row r="4" spans="1:17" x14ac:dyDescent="0.2">
      <c r="A4" s="36" t="s">
        <v>40</v>
      </c>
      <c r="B4" s="36"/>
      <c r="C4" s="39"/>
      <c r="D4" s="35"/>
      <c r="E4" s="39"/>
      <c r="F4" s="39"/>
      <c r="G4" s="101" t="s">
        <v>271</v>
      </c>
      <c r="H4" s="39"/>
      <c r="I4" s="39"/>
      <c r="J4" s="39"/>
      <c r="K4" s="61"/>
    </row>
    <row r="5" spans="1:17" s="329" customFormat="1" x14ac:dyDescent="0.2">
      <c r="A5" s="33" t="s">
        <v>14</v>
      </c>
      <c r="B5" s="33"/>
      <c r="C5" s="35"/>
      <c r="D5" s="35"/>
      <c r="E5" s="35"/>
      <c r="F5" s="35"/>
      <c r="G5" s="104" t="s">
        <v>411</v>
      </c>
      <c r="H5" s="34"/>
      <c r="I5" s="35"/>
      <c r="J5" s="35"/>
      <c r="K5" s="63"/>
      <c r="L5" s="328"/>
      <c r="M5" s="328"/>
      <c r="N5" s="328"/>
      <c r="O5" s="328"/>
      <c r="P5" s="328"/>
      <c r="Q5" s="328"/>
    </row>
    <row r="6" spans="1:17" s="330" customFormat="1" x14ac:dyDescent="0.2">
      <c r="A6" s="33" t="s">
        <v>26</v>
      </c>
      <c r="B6" s="33"/>
      <c r="C6" s="35"/>
      <c r="D6" s="35"/>
      <c r="E6" s="35"/>
      <c r="F6" s="35"/>
      <c r="G6" s="101" t="s">
        <v>203</v>
      </c>
      <c r="H6" s="34"/>
      <c r="I6" s="35"/>
      <c r="J6" s="103"/>
      <c r="K6" s="61"/>
      <c r="L6" s="327"/>
      <c r="M6" s="327"/>
      <c r="N6" s="327"/>
      <c r="O6" s="327"/>
      <c r="P6" s="327"/>
      <c r="Q6" s="327"/>
    </row>
    <row r="7" spans="1:17" x14ac:dyDescent="0.2">
      <c r="A7" s="33" t="s">
        <v>15</v>
      </c>
      <c r="B7" s="33"/>
      <c r="C7" s="35"/>
      <c r="D7" s="35"/>
      <c r="E7" s="35"/>
      <c r="F7" s="35"/>
      <c r="G7" s="123">
        <v>41183</v>
      </c>
      <c r="H7" s="34"/>
      <c r="I7" s="35"/>
      <c r="J7" s="35"/>
      <c r="K7" s="61"/>
    </row>
    <row r="8" spans="1:17" x14ac:dyDescent="0.2">
      <c r="A8" s="33" t="s">
        <v>17</v>
      </c>
      <c r="B8" s="33"/>
      <c r="C8" s="35"/>
      <c r="D8" s="35"/>
      <c r="E8" s="35"/>
      <c r="F8" s="35"/>
      <c r="G8" s="104" t="s">
        <v>272</v>
      </c>
      <c r="H8" s="34"/>
      <c r="I8" s="35"/>
      <c r="J8" s="35"/>
      <c r="K8" s="61"/>
    </row>
    <row r="9" spans="1:17" x14ac:dyDescent="0.2">
      <c r="A9" s="33" t="s">
        <v>5</v>
      </c>
      <c r="B9" s="33"/>
      <c r="C9" s="35"/>
      <c r="D9" s="35"/>
      <c r="E9" s="35"/>
      <c r="F9" s="35"/>
      <c r="G9" s="123">
        <v>41244</v>
      </c>
      <c r="H9" s="34"/>
      <c r="I9" s="35"/>
      <c r="J9" s="35"/>
      <c r="K9" s="61"/>
    </row>
    <row r="10" spans="1:17" x14ac:dyDescent="0.2">
      <c r="A10" s="33" t="s">
        <v>16</v>
      </c>
      <c r="B10" s="33"/>
      <c r="C10" s="35"/>
      <c r="D10" s="35"/>
      <c r="E10" s="35"/>
      <c r="F10" s="35"/>
      <c r="G10" s="101" t="s">
        <v>431</v>
      </c>
      <c r="H10" s="34"/>
      <c r="I10" s="35"/>
      <c r="J10" s="35"/>
      <c r="K10" s="61"/>
    </row>
    <row r="11" spans="1:17" x14ac:dyDescent="0.2">
      <c r="A11" s="33" t="s">
        <v>13</v>
      </c>
      <c r="B11" s="33"/>
      <c r="C11" s="35"/>
      <c r="D11" s="35"/>
      <c r="E11" s="35"/>
      <c r="F11" s="35"/>
      <c r="G11" s="105">
        <v>41265</v>
      </c>
      <c r="H11" s="35"/>
      <c r="I11" s="35"/>
      <c r="J11" s="35"/>
      <c r="K11" s="61"/>
    </row>
    <row r="12" spans="1:17" x14ac:dyDescent="0.2">
      <c r="A12" s="33" t="s">
        <v>7</v>
      </c>
      <c r="B12" s="33"/>
      <c r="C12" s="35"/>
      <c r="D12" s="35"/>
      <c r="E12" s="35"/>
      <c r="F12" s="35"/>
      <c r="G12" s="101" t="s">
        <v>273</v>
      </c>
      <c r="H12" s="34"/>
      <c r="I12" s="35"/>
      <c r="J12" s="35"/>
      <c r="K12" s="61"/>
    </row>
    <row r="13" spans="1:17" x14ac:dyDescent="0.2">
      <c r="A13" s="33"/>
      <c r="B13" s="33"/>
      <c r="C13" s="35"/>
      <c r="D13" s="35"/>
      <c r="E13" s="35"/>
      <c r="F13" s="35"/>
      <c r="G13" s="35"/>
      <c r="H13" s="34"/>
      <c r="I13" s="35"/>
      <c r="J13" s="35"/>
      <c r="K13" s="61"/>
    </row>
    <row r="14" spans="1:17" x14ac:dyDescent="0.2">
      <c r="A14" s="33"/>
      <c r="B14" s="33"/>
      <c r="C14" s="35"/>
      <c r="D14" s="35"/>
      <c r="E14" s="35"/>
      <c r="F14" s="35"/>
      <c r="G14" s="35"/>
      <c r="H14" s="34"/>
      <c r="I14" s="35"/>
      <c r="J14" s="35"/>
      <c r="K14" s="61"/>
    </row>
    <row r="15" spans="1:17" s="330" customFormat="1" ht="12" customHeight="1" x14ac:dyDescent="0.2">
      <c r="A15" s="64"/>
      <c r="B15" s="33"/>
      <c r="C15" s="35"/>
      <c r="D15" s="35"/>
      <c r="E15" s="35"/>
      <c r="F15" s="35"/>
      <c r="G15" s="35"/>
      <c r="H15" s="34"/>
      <c r="I15" s="35"/>
      <c r="J15" s="35"/>
      <c r="K15" s="61"/>
      <c r="L15" s="327"/>
      <c r="M15" s="327"/>
      <c r="N15" s="327"/>
      <c r="O15" s="327"/>
      <c r="P15" s="327"/>
      <c r="Q15" s="327"/>
    </row>
    <row r="16" spans="1:17" x14ac:dyDescent="0.2">
      <c r="A16" s="33"/>
      <c r="B16" s="33"/>
      <c r="C16" s="35"/>
      <c r="D16" s="35"/>
      <c r="E16" s="35"/>
      <c r="F16" s="35"/>
      <c r="G16" s="35"/>
      <c r="H16" s="34"/>
      <c r="I16" s="35"/>
      <c r="J16" s="35"/>
      <c r="K16" s="61"/>
    </row>
    <row r="17" spans="1:11" x14ac:dyDescent="0.2">
      <c r="A17" s="33"/>
      <c r="B17" s="33"/>
      <c r="C17" s="35"/>
      <c r="D17" s="35"/>
      <c r="E17" s="35"/>
      <c r="F17" s="35"/>
      <c r="G17" s="35"/>
      <c r="H17" s="34"/>
      <c r="I17" s="35"/>
      <c r="J17" s="35"/>
      <c r="K17" s="61"/>
    </row>
    <row r="18" spans="1:11" x14ac:dyDescent="0.2">
      <c r="A18" s="43"/>
      <c r="B18" s="43"/>
      <c r="C18" s="43"/>
      <c r="D18" s="43"/>
      <c r="E18" s="43"/>
      <c r="F18" s="43"/>
      <c r="G18" s="43"/>
      <c r="H18" s="106"/>
      <c r="I18" s="106"/>
      <c r="J18" s="106"/>
      <c r="K18" s="61"/>
    </row>
    <row r="19" spans="1:11" x14ac:dyDescent="0.2">
      <c r="A19" s="33" t="s">
        <v>22</v>
      </c>
      <c r="B19" s="33"/>
      <c r="C19" s="35"/>
      <c r="D19" s="35"/>
      <c r="E19" s="35"/>
      <c r="F19" s="35"/>
      <c r="G19" s="101" t="s">
        <v>274</v>
      </c>
      <c r="H19" s="35"/>
      <c r="I19" s="35"/>
      <c r="J19" s="35"/>
      <c r="K19" s="61"/>
    </row>
    <row r="20" spans="1:11" x14ac:dyDescent="0.2">
      <c r="A20" s="33" t="s">
        <v>27</v>
      </c>
      <c r="B20" s="33"/>
      <c r="C20" s="35"/>
      <c r="D20" s="35"/>
      <c r="E20" s="35"/>
      <c r="F20" s="35"/>
      <c r="G20" s="101" t="s">
        <v>275</v>
      </c>
      <c r="H20" s="35"/>
      <c r="I20" s="35"/>
      <c r="J20" s="35"/>
      <c r="K20" s="61"/>
    </row>
    <row r="21" spans="1:11" x14ac:dyDescent="0.2">
      <c r="A21" s="33" t="s">
        <v>0</v>
      </c>
      <c r="B21" s="33"/>
      <c r="C21" s="35"/>
      <c r="D21" s="35"/>
      <c r="E21" s="35"/>
      <c r="F21" s="35"/>
      <c r="G21" s="101" t="s">
        <v>275</v>
      </c>
      <c r="H21" s="35"/>
      <c r="I21" s="35"/>
      <c r="J21" s="35"/>
      <c r="K21" s="61"/>
    </row>
    <row r="22" spans="1:11" x14ac:dyDescent="0.2">
      <c r="A22" s="33" t="s">
        <v>1</v>
      </c>
      <c r="B22" s="33"/>
      <c r="C22" s="35"/>
      <c r="D22" s="35"/>
      <c r="E22" s="35"/>
      <c r="F22" s="35"/>
      <c r="G22" s="101" t="s">
        <v>275</v>
      </c>
      <c r="H22" s="35"/>
      <c r="I22" s="35"/>
      <c r="J22" s="35"/>
      <c r="K22" s="61"/>
    </row>
    <row r="23" spans="1:11" x14ac:dyDescent="0.2">
      <c r="A23" s="33" t="s">
        <v>2</v>
      </c>
      <c r="B23" s="33"/>
      <c r="C23" s="35"/>
      <c r="D23" s="35"/>
      <c r="E23" s="35"/>
      <c r="F23" s="35"/>
      <c r="G23" s="101" t="s">
        <v>275</v>
      </c>
      <c r="H23" s="35"/>
      <c r="I23" s="35"/>
      <c r="J23" s="35"/>
      <c r="K23" s="61"/>
    </row>
    <row r="24" spans="1:11" x14ac:dyDescent="0.2">
      <c r="A24" s="33" t="s">
        <v>3</v>
      </c>
      <c r="B24" s="33"/>
      <c r="C24" s="35"/>
      <c r="D24" s="35"/>
      <c r="E24" s="35"/>
      <c r="F24" s="35"/>
      <c r="G24" s="101" t="s">
        <v>275</v>
      </c>
      <c r="H24" s="35"/>
      <c r="I24" s="35"/>
      <c r="J24" s="35"/>
      <c r="K24" s="61"/>
    </row>
    <row r="25" spans="1:11" x14ac:dyDescent="0.2">
      <c r="A25" s="33" t="s">
        <v>4</v>
      </c>
      <c r="B25" s="33"/>
      <c r="C25" s="35"/>
      <c r="D25" s="35"/>
      <c r="E25" s="35"/>
      <c r="F25" s="35"/>
      <c r="G25" s="101" t="s">
        <v>275</v>
      </c>
      <c r="H25" s="35"/>
      <c r="I25" s="35"/>
      <c r="J25" s="35"/>
      <c r="K25" s="61"/>
    </row>
    <row r="26" spans="1:11" x14ac:dyDescent="0.2">
      <c r="A26" s="33" t="s">
        <v>6</v>
      </c>
      <c r="B26" s="33"/>
      <c r="C26" s="35"/>
      <c r="D26" s="35"/>
      <c r="E26" s="35"/>
      <c r="F26" s="35"/>
      <c r="G26" s="101" t="s">
        <v>275</v>
      </c>
      <c r="H26" s="35"/>
      <c r="I26" s="35"/>
      <c r="J26" s="35"/>
      <c r="K26" s="61"/>
    </row>
    <row r="27" spans="1:11" x14ac:dyDescent="0.2">
      <c r="A27" s="33" t="s">
        <v>8</v>
      </c>
      <c r="B27" s="33"/>
      <c r="C27" s="35"/>
      <c r="D27" s="35"/>
      <c r="E27" s="35"/>
      <c r="F27" s="35"/>
      <c r="G27" s="101" t="s">
        <v>275</v>
      </c>
      <c r="H27" s="35"/>
      <c r="I27" s="35"/>
      <c r="J27" s="35"/>
      <c r="K27" s="61"/>
    </row>
    <row r="28" spans="1:11" x14ac:dyDescent="0.2">
      <c r="A28" s="33" t="s">
        <v>9</v>
      </c>
      <c r="B28" s="33"/>
      <c r="C28" s="35"/>
      <c r="D28" s="35"/>
      <c r="E28" s="35"/>
      <c r="F28" s="35"/>
      <c r="G28" s="101" t="s">
        <v>275</v>
      </c>
      <c r="H28" s="35"/>
      <c r="I28" s="35"/>
      <c r="J28" s="35"/>
      <c r="K28" s="61"/>
    </row>
    <row r="29" spans="1:11" x14ac:dyDescent="0.2">
      <c r="A29" s="33" t="s">
        <v>12</v>
      </c>
      <c r="B29" s="33"/>
      <c r="C29" s="35"/>
      <c r="D29" s="35"/>
      <c r="E29" s="35"/>
      <c r="F29" s="35"/>
      <c r="G29" s="101" t="s">
        <v>275</v>
      </c>
      <c r="H29" s="35"/>
      <c r="I29" s="35"/>
      <c r="J29" s="35"/>
      <c r="K29" s="61"/>
    </row>
    <row r="30" spans="1:11" x14ac:dyDescent="0.2">
      <c r="A30" s="33" t="s">
        <v>18</v>
      </c>
      <c r="B30" s="33"/>
      <c r="C30" s="35"/>
      <c r="D30" s="35"/>
      <c r="E30" s="35"/>
      <c r="F30" s="35"/>
      <c r="G30" s="101" t="s">
        <v>275</v>
      </c>
      <c r="H30" s="35"/>
      <c r="I30" s="35"/>
      <c r="J30" s="35"/>
      <c r="K30" s="61"/>
    </row>
    <row r="31" spans="1:11" x14ac:dyDescent="0.2">
      <c r="A31" s="33" t="s">
        <v>10</v>
      </c>
      <c r="B31" s="33"/>
      <c r="C31" s="35"/>
      <c r="D31" s="35"/>
      <c r="E31" s="35"/>
      <c r="F31" s="35"/>
      <c r="G31" s="101" t="s">
        <v>275</v>
      </c>
      <c r="H31" s="35"/>
      <c r="I31" s="35"/>
      <c r="J31" s="35"/>
      <c r="K31" s="61"/>
    </row>
    <row r="32" spans="1:11" x14ac:dyDescent="0.2">
      <c r="A32" s="33" t="s">
        <v>11</v>
      </c>
      <c r="B32" s="33"/>
      <c r="C32" s="35"/>
      <c r="D32" s="35"/>
      <c r="E32" s="35"/>
      <c r="F32" s="35"/>
      <c r="G32" s="101" t="s">
        <v>275</v>
      </c>
      <c r="H32" s="35"/>
      <c r="I32" s="35"/>
      <c r="J32" s="35"/>
      <c r="K32" s="61"/>
    </row>
    <row r="33" spans="1:17" s="332" customFormat="1" ht="22.5" x14ac:dyDescent="0.2">
      <c r="A33" s="65" t="s">
        <v>19</v>
      </c>
      <c r="B33" s="65"/>
      <c r="C33" s="65" t="s">
        <v>28</v>
      </c>
      <c r="D33" s="65" t="s">
        <v>29</v>
      </c>
      <c r="E33" s="65" t="s">
        <v>20</v>
      </c>
      <c r="F33" s="65" t="s">
        <v>30</v>
      </c>
      <c r="G33" s="65" t="s">
        <v>31</v>
      </c>
      <c r="H33" s="65" t="s">
        <v>21</v>
      </c>
      <c r="I33" s="65" t="s">
        <v>32</v>
      </c>
      <c r="J33" s="65" t="s">
        <v>276</v>
      </c>
      <c r="K33" s="66" t="s">
        <v>76</v>
      </c>
      <c r="L33" s="331"/>
      <c r="M33" s="331"/>
      <c r="N33" s="331"/>
      <c r="O33" s="331"/>
      <c r="P33" s="331"/>
      <c r="Q33" s="331"/>
    </row>
    <row r="34" spans="1:17" x14ac:dyDescent="0.2">
      <c r="A34" s="67">
        <v>1</v>
      </c>
      <c r="B34" s="78"/>
      <c r="C34" s="78" t="s">
        <v>277</v>
      </c>
      <c r="D34" s="107" t="s">
        <v>278</v>
      </c>
      <c r="E34" s="78" t="s">
        <v>279</v>
      </c>
      <c r="F34" s="138">
        <v>800000.12</v>
      </c>
      <c r="G34" s="141"/>
      <c r="H34" s="138"/>
      <c r="I34" s="108" t="s">
        <v>280</v>
      </c>
      <c r="J34" s="318">
        <v>0</v>
      </c>
      <c r="K34" s="109" t="s">
        <v>281</v>
      </c>
    </row>
    <row r="35" spans="1:17" x14ac:dyDescent="0.2">
      <c r="A35" s="67">
        <f>+A34+1</f>
        <v>2</v>
      </c>
      <c r="B35" s="78"/>
      <c r="C35" s="78" t="s">
        <v>277</v>
      </c>
      <c r="D35" s="107" t="s">
        <v>282</v>
      </c>
      <c r="E35" s="78" t="s">
        <v>283</v>
      </c>
      <c r="F35" s="140">
        <v>100000.02</v>
      </c>
      <c r="G35" s="141"/>
      <c r="H35" s="138"/>
      <c r="I35" s="108" t="s">
        <v>280</v>
      </c>
      <c r="J35" s="318">
        <v>0</v>
      </c>
      <c r="K35" s="109" t="s">
        <v>284</v>
      </c>
    </row>
    <row r="36" spans="1:17" x14ac:dyDescent="0.2">
      <c r="A36" s="67">
        <f t="shared" ref="A36:A72" si="0">+A35+1</f>
        <v>3</v>
      </c>
      <c r="B36" s="78"/>
      <c r="C36" s="78" t="s">
        <v>277</v>
      </c>
      <c r="D36" s="107" t="s">
        <v>282</v>
      </c>
      <c r="E36" s="78" t="s">
        <v>285</v>
      </c>
      <c r="F36" s="139">
        <f>F35-F37</f>
        <v>90000.018000000011</v>
      </c>
      <c r="G36" s="141"/>
      <c r="H36" s="138"/>
      <c r="I36" s="108" t="s">
        <v>280</v>
      </c>
      <c r="J36" s="318">
        <v>0</v>
      </c>
      <c r="K36" s="109" t="s">
        <v>286</v>
      </c>
    </row>
    <row r="37" spans="1:17" x14ac:dyDescent="0.2">
      <c r="A37" s="67">
        <f t="shared" si="0"/>
        <v>4</v>
      </c>
      <c r="B37" s="78"/>
      <c r="C37" s="78" t="s">
        <v>277</v>
      </c>
      <c r="D37" s="107" t="s">
        <v>282</v>
      </c>
      <c r="E37" s="110" t="s">
        <v>287</v>
      </c>
      <c r="F37" s="140">
        <v>10000.002</v>
      </c>
      <c r="G37" s="141"/>
      <c r="H37" s="138"/>
      <c r="I37" s="108" t="s">
        <v>280</v>
      </c>
      <c r="J37" s="318">
        <v>0</v>
      </c>
      <c r="K37" s="109" t="s">
        <v>288</v>
      </c>
    </row>
    <row r="38" spans="1:17" x14ac:dyDescent="0.2">
      <c r="A38" s="67">
        <f t="shared" si="0"/>
        <v>5</v>
      </c>
      <c r="B38" s="78"/>
      <c r="C38" s="68" t="s">
        <v>277</v>
      </c>
      <c r="D38" s="111" t="s">
        <v>282</v>
      </c>
      <c r="E38" s="70" t="s">
        <v>289</v>
      </c>
      <c r="F38" s="138"/>
      <c r="G38" s="183">
        <v>105.44456</v>
      </c>
      <c r="H38" s="138"/>
      <c r="I38" s="108" t="s">
        <v>280</v>
      </c>
      <c r="J38" s="318">
        <v>0</v>
      </c>
      <c r="K38" s="109" t="s">
        <v>290</v>
      </c>
    </row>
    <row r="39" spans="1:17" x14ac:dyDescent="0.2">
      <c r="A39" s="67">
        <f t="shared" si="0"/>
        <v>6</v>
      </c>
      <c r="B39" s="78"/>
      <c r="C39" s="68" t="s">
        <v>277</v>
      </c>
      <c r="D39" s="111" t="s">
        <v>282</v>
      </c>
      <c r="E39" s="70" t="s">
        <v>380</v>
      </c>
      <c r="F39" s="138"/>
      <c r="G39" s="184">
        <v>-0.22234000000000001</v>
      </c>
      <c r="H39" s="138"/>
      <c r="I39" s="108" t="s">
        <v>280</v>
      </c>
      <c r="J39" s="318">
        <v>0</v>
      </c>
      <c r="K39" s="109" t="s">
        <v>381</v>
      </c>
    </row>
    <row r="40" spans="1:17" x14ac:dyDescent="0.2">
      <c r="A40" s="67">
        <f t="shared" si="0"/>
        <v>7</v>
      </c>
      <c r="B40" s="78"/>
      <c r="C40" s="68" t="s">
        <v>277</v>
      </c>
      <c r="D40" s="111" t="s">
        <v>282</v>
      </c>
      <c r="E40" s="70" t="s">
        <v>291</v>
      </c>
      <c r="F40" s="138"/>
      <c r="G40" s="184">
        <v>-4.8678900000000001</v>
      </c>
      <c r="H40" s="138"/>
      <c r="I40" s="108" t="s">
        <v>280</v>
      </c>
      <c r="J40" s="318">
        <v>0</v>
      </c>
      <c r="K40" s="109" t="s">
        <v>292</v>
      </c>
    </row>
    <row r="41" spans="1:17" x14ac:dyDescent="0.2">
      <c r="A41" s="67">
        <f t="shared" si="0"/>
        <v>8</v>
      </c>
      <c r="B41" s="78"/>
      <c r="C41" s="68" t="s">
        <v>277</v>
      </c>
      <c r="D41" s="111" t="s">
        <v>282</v>
      </c>
      <c r="E41" s="70" t="s">
        <v>293</v>
      </c>
      <c r="F41" s="138"/>
      <c r="G41" s="184">
        <v>-0.09</v>
      </c>
      <c r="H41" s="138"/>
      <c r="I41" s="108" t="s">
        <v>280</v>
      </c>
      <c r="J41" s="318">
        <v>0</v>
      </c>
      <c r="K41" s="109" t="s">
        <v>294</v>
      </c>
    </row>
    <row r="42" spans="1:17" x14ac:dyDescent="0.2">
      <c r="A42" s="67">
        <f t="shared" si="0"/>
        <v>9</v>
      </c>
      <c r="B42" s="78"/>
      <c r="C42" s="68" t="s">
        <v>277</v>
      </c>
      <c r="D42" s="111" t="s">
        <v>282</v>
      </c>
      <c r="E42" s="70" t="s">
        <v>295</v>
      </c>
      <c r="F42" s="138"/>
      <c r="G42" s="184">
        <v>-1.19</v>
      </c>
      <c r="H42" s="138"/>
      <c r="I42" s="108" t="s">
        <v>280</v>
      </c>
      <c r="J42" s="318">
        <v>0</v>
      </c>
      <c r="K42" s="109" t="s">
        <v>296</v>
      </c>
    </row>
    <row r="43" spans="1:17" x14ac:dyDescent="0.2">
      <c r="A43" s="67">
        <f t="shared" si="0"/>
        <v>10</v>
      </c>
      <c r="B43" s="78"/>
      <c r="C43" s="68" t="s">
        <v>277</v>
      </c>
      <c r="D43" s="111" t="s">
        <v>282</v>
      </c>
      <c r="E43" s="70" t="s">
        <v>382</v>
      </c>
      <c r="F43" s="138"/>
      <c r="G43" s="184">
        <v>-1.37</v>
      </c>
      <c r="H43" s="138"/>
      <c r="I43" s="108" t="s">
        <v>280</v>
      </c>
      <c r="J43" s="318">
        <v>0</v>
      </c>
      <c r="K43" s="109" t="s">
        <v>383</v>
      </c>
    </row>
    <row r="44" spans="1:17" x14ac:dyDescent="0.2">
      <c r="A44" s="67">
        <f t="shared" si="0"/>
        <v>11</v>
      </c>
      <c r="B44" s="78"/>
      <c r="C44" s="68" t="s">
        <v>277</v>
      </c>
      <c r="D44" s="111" t="s">
        <v>282</v>
      </c>
      <c r="E44" s="70" t="s">
        <v>297</v>
      </c>
      <c r="F44" s="138"/>
      <c r="G44" s="183">
        <v>0</v>
      </c>
      <c r="H44" s="138"/>
      <c r="I44" s="108" t="s">
        <v>280</v>
      </c>
      <c r="J44" s="318">
        <v>0</v>
      </c>
      <c r="K44" s="109" t="s">
        <v>298</v>
      </c>
    </row>
    <row r="45" spans="1:17" x14ac:dyDescent="0.2">
      <c r="A45" s="67">
        <f t="shared" si="0"/>
        <v>12</v>
      </c>
      <c r="B45" s="78"/>
      <c r="C45" s="68" t="s">
        <v>277</v>
      </c>
      <c r="D45" s="111" t="s">
        <v>282</v>
      </c>
      <c r="E45" s="70" t="s">
        <v>299</v>
      </c>
      <c r="F45" s="138"/>
      <c r="G45" s="183">
        <v>0</v>
      </c>
      <c r="H45" s="138"/>
      <c r="I45" s="108" t="s">
        <v>280</v>
      </c>
      <c r="J45" s="318">
        <v>0</v>
      </c>
      <c r="K45" s="109" t="s">
        <v>300</v>
      </c>
    </row>
    <row r="46" spans="1:17" x14ac:dyDescent="0.2">
      <c r="A46" s="67">
        <f t="shared" si="0"/>
        <v>13</v>
      </c>
      <c r="B46" s="78"/>
      <c r="C46" s="68" t="s">
        <v>277</v>
      </c>
      <c r="D46" s="111" t="s">
        <v>282</v>
      </c>
      <c r="E46" s="70" t="s">
        <v>301</v>
      </c>
      <c r="F46" s="138"/>
      <c r="G46" s="183">
        <v>0</v>
      </c>
      <c r="H46" s="138"/>
      <c r="I46" s="108" t="s">
        <v>280</v>
      </c>
      <c r="J46" s="318">
        <v>0</v>
      </c>
      <c r="K46" s="109" t="s">
        <v>302</v>
      </c>
    </row>
    <row r="47" spans="1:17" x14ac:dyDescent="0.2">
      <c r="A47" s="67">
        <f t="shared" si="0"/>
        <v>14</v>
      </c>
      <c r="B47" s="78"/>
      <c r="C47" s="78" t="s">
        <v>277</v>
      </c>
      <c r="D47" s="107" t="s">
        <v>282</v>
      </c>
      <c r="E47" s="78" t="s">
        <v>303</v>
      </c>
      <c r="F47" s="138"/>
      <c r="G47" s="185">
        <f>SUM(G38:G46)</f>
        <v>97.704329999999985</v>
      </c>
      <c r="H47" s="138"/>
      <c r="I47" s="108" t="s">
        <v>280</v>
      </c>
      <c r="J47" s="318">
        <v>0</v>
      </c>
      <c r="K47" s="109" t="s">
        <v>304</v>
      </c>
    </row>
    <row r="48" spans="1:17" x14ac:dyDescent="0.2">
      <c r="A48" s="67">
        <f t="shared" si="0"/>
        <v>15</v>
      </c>
      <c r="B48" s="78"/>
      <c r="C48" s="78" t="s">
        <v>277</v>
      </c>
      <c r="D48" s="112" t="s">
        <v>282</v>
      </c>
      <c r="E48" s="81" t="s">
        <v>305</v>
      </c>
      <c r="F48" s="138"/>
      <c r="G48" s="183">
        <v>0</v>
      </c>
      <c r="H48" s="138"/>
      <c r="I48" s="108" t="s">
        <v>280</v>
      </c>
      <c r="J48" s="318">
        <v>0</v>
      </c>
      <c r="K48" s="109" t="s">
        <v>306</v>
      </c>
    </row>
    <row r="49" spans="1:11" x14ac:dyDescent="0.2">
      <c r="A49" s="67">
        <f t="shared" si="0"/>
        <v>16</v>
      </c>
      <c r="B49" s="78"/>
      <c r="C49" s="78" t="s">
        <v>277</v>
      </c>
      <c r="D49" s="112" t="s">
        <v>282</v>
      </c>
      <c r="E49" s="81" t="s">
        <v>307</v>
      </c>
      <c r="F49" s="138"/>
      <c r="G49" s="185">
        <f>SUM(G47:G48)</f>
        <v>97.704329999999985</v>
      </c>
      <c r="H49" s="138"/>
      <c r="I49" s="108" t="s">
        <v>280</v>
      </c>
      <c r="J49" s="318">
        <v>0</v>
      </c>
      <c r="K49" s="109" t="s">
        <v>308</v>
      </c>
    </row>
    <row r="50" spans="1:11" x14ac:dyDescent="0.2">
      <c r="A50" s="67">
        <f t="shared" si="0"/>
        <v>17</v>
      </c>
      <c r="B50" s="78"/>
      <c r="C50" s="78" t="s">
        <v>277</v>
      </c>
      <c r="D50" s="107" t="s">
        <v>282</v>
      </c>
      <c r="E50" s="78" t="s">
        <v>309</v>
      </c>
      <c r="F50" s="138"/>
      <c r="G50" s="183"/>
      <c r="H50" s="138">
        <v>0</v>
      </c>
      <c r="I50" s="108" t="s">
        <v>280</v>
      </c>
      <c r="J50" s="318">
        <v>0</v>
      </c>
      <c r="K50" s="113" t="s">
        <v>310</v>
      </c>
    </row>
    <row r="51" spans="1:11" x14ac:dyDescent="0.2">
      <c r="A51" s="67">
        <f t="shared" si="0"/>
        <v>18</v>
      </c>
      <c r="B51" s="78"/>
      <c r="C51" s="78" t="s">
        <v>277</v>
      </c>
      <c r="D51" s="107" t="s">
        <v>282</v>
      </c>
      <c r="E51" s="78" t="s">
        <v>311</v>
      </c>
      <c r="F51" s="138"/>
      <c r="G51" s="183" t="s">
        <v>80</v>
      </c>
      <c r="H51" s="139">
        <f>ROUND((+F34*G49)+H50,2)</f>
        <v>78163475.719999999</v>
      </c>
      <c r="I51" s="108" t="s">
        <v>280</v>
      </c>
      <c r="J51" s="318">
        <v>0</v>
      </c>
      <c r="K51" s="109" t="s">
        <v>312</v>
      </c>
    </row>
    <row r="52" spans="1:11" x14ac:dyDescent="0.2">
      <c r="A52" s="67">
        <f t="shared" si="0"/>
        <v>19</v>
      </c>
      <c r="B52" s="78"/>
      <c r="C52" s="78" t="s">
        <v>277</v>
      </c>
      <c r="D52" s="107" t="s">
        <v>282</v>
      </c>
      <c r="E52" s="78" t="s">
        <v>313</v>
      </c>
      <c r="F52" s="138"/>
      <c r="G52" s="183"/>
      <c r="H52" s="139">
        <f>ROUND(+F35*G49,2)</f>
        <v>9770434.9499999993</v>
      </c>
      <c r="I52" s="108" t="s">
        <v>280</v>
      </c>
      <c r="J52" s="318">
        <v>0</v>
      </c>
      <c r="K52" s="109" t="s">
        <v>314</v>
      </c>
    </row>
    <row r="53" spans="1:11" x14ac:dyDescent="0.2">
      <c r="A53" s="67">
        <f t="shared" si="0"/>
        <v>20</v>
      </c>
      <c r="B53" s="78"/>
      <c r="C53" s="78" t="s">
        <v>277</v>
      </c>
      <c r="D53" s="107" t="s">
        <v>282</v>
      </c>
      <c r="E53" s="78" t="s">
        <v>315</v>
      </c>
      <c r="F53" s="138"/>
      <c r="G53" s="183">
        <v>0.19839999999999999</v>
      </c>
      <c r="H53" s="138"/>
      <c r="I53" s="108" t="s">
        <v>280</v>
      </c>
      <c r="J53" s="318">
        <v>0</v>
      </c>
      <c r="K53" s="109" t="s">
        <v>316</v>
      </c>
    </row>
    <row r="54" spans="1:11" x14ac:dyDescent="0.2">
      <c r="A54" s="67">
        <f t="shared" si="0"/>
        <v>21</v>
      </c>
      <c r="B54" s="78"/>
      <c r="C54" s="78" t="s">
        <v>277</v>
      </c>
      <c r="D54" s="107" t="s">
        <v>282</v>
      </c>
      <c r="E54" s="78" t="s">
        <v>34</v>
      </c>
      <c r="F54" s="138"/>
      <c r="G54" s="183" t="s">
        <v>80</v>
      </c>
      <c r="H54" s="139">
        <f>ROUND(+$F$34*G53,2)</f>
        <v>158720.01999999999</v>
      </c>
      <c r="I54" s="108" t="s">
        <v>280</v>
      </c>
      <c r="J54" s="318">
        <v>0</v>
      </c>
      <c r="K54" s="109" t="s">
        <v>317</v>
      </c>
    </row>
    <row r="55" spans="1:11" x14ac:dyDescent="0.2">
      <c r="A55" s="67">
        <f t="shared" si="0"/>
        <v>22</v>
      </c>
      <c r="B55" s="78"/>
      <c r="C55" s="78" t="s">
        <v>277</v>
      </c>
      <c r="D55" s="107" t="s">
        <v>282</v>
      </c>
      <c r="E55" s="78" t="s">
        <v>318</v>
      </c>
      <c r="F55" s="138"/>
      <c r="G55" s="183">
        <v>0.96</v>
      </c>
      <c r="H55" s="140"/>
      <c r="I55" s="108" t="s">
        <v>280</v>
      </c>
      <c r="J55" s="318">
        <v>0</v>
      </c>
      <c r="K55" s="109" t="s">
        <v>319</v>
      </c>
    </row>
    <row r="56" spans="1:11" x14ac:dyDescent="0.2">
      <c r="A56" s="67">
        <f t="shared" si="0"/>
        <v>23</v>
      </c>
      <c r="B56" s="78"/>
      <c r="C56" s="78" t="s">
        <v>277</v>
      </c>
      <c r="D56" s="107" t="s">
        <v>282</v>
      </c>
      <c r="E56" s="78" t="s">
        <v>109</v>
      </c>
      <c r="F56" s="138"/>
      <c r="G56" s="183"/>
      <c r="H56" s="139">
        <f>ROUND(+$F$34*G55,2)</f>
        <v>768000.12</v>
      </c>
      <c r="I56" s="108" t="s">
        <v>280</v>
      </c>
      <c r="J56" s="318">
        <v>0</v>
      </c>
      <c r="K56" s="109" t="s">
        <v>320</v>
      </c>
    </row>
    <row r="57" spans="1:11" ht="11.25" customHeight="1" x14ac:dyDescent="0.2">
      <c r="A57" s="67">
        <f t="shared" ref="A57:A62" si="1">+A56+1</f>
        <v>24</v>
      </c>
      <c r="B57" s="78"/>
      <c r="C57" s="68" t="s">
        <v>133</v>
      </c>
      <c r="D57" s="180" t="s">
        <v>407</v>
      </c>
      <c r="E57" s="68" t="s">
        <v>279</v>
      </c>
      <c r="F57" s="138">
        <v>1886.69</v>
      </c>
      <c r="G57" s="183"/>
      <c r="H57" s="138"/>
      <c r="I57" s="108" t="s">
        <v>280</v>
      </c>
      <c r="J57" s="318">
        <v>0</v>
      </c>
      <c r="K57" s="109" t="s">
        <v>384</v>
      </c>
    </row>
    <row r="58" spans="1:11" x14ac:dyDescent="0.2">
      <c r="A58" s="67">
        <f t="shared" si="1"/>
        <v>25</v>
      </c>
      <c r="B58" s="78"/>
      <c r="C58" s="68" t="s">
        <v>133</v>
      </c>
      <c r="D58" s="180" t="s">
        <v>408</v>
      </c>
      <c r="E58" s="68" t="s">
        <v>283</v>
      </c>
      <c r="F58" s="140">
        <v>235.84</v>
      </c>
      <c r="G58" s="183"/>
      <c r="H58" s="138"/>
      <c r="I58" s="108" t="s">
        <v>280</v>
      </c>
      <c r="J58" s="318">
        <v>0</v>
      </c>
      <c r="K58" s="109" t="s">
        <v>284</v>
      </c>
    </row>
    <row r="59" spans="1:11" x14ac:dyDescent="0.2">
      <c r="A59" s="168">
        <f t="shared" si="1"/>
        <v>26</v>
      </c>
      <c r="B59" s="169"/>
      <c r="C59" s="170" t="s">
        <v>133</v>
      </c>
      <c r="D59" s="180" t="s">
        <v>408</v>
      </c>
      <c r="E59" s="170" t="s">
        <v>401</v>
      </c>
      <c r="F59" s="139">
        <f>+F58/J69</f>
        <v>39.306666666666665</v>
      </c>
      <c r="G59" s="186"/>
      <c r="H59" s="171"/>
      <c r="I59" s="108" t="s">
        <v>280</v>
      </c>
      <c r="J59" s="318">
        <v>0</v>
      </c>
      <c r="K59" s="172" t="s">
        <v>406</v>
      </c>
    </row>
    <row r="60" spans="1:11" x14ac:dyDescent="0.2">
      <c r="A60" s="67">
        <f t="shared" si="1"/>
        <v>27</v>
      </c>
      <c r="B60" s="78"/>
      <c r="C60" s="68" t="s">
        <v>133</v>
      </c>
      <c r="D60" s="180" t="s">
        <v>408</v>
      </c>
      <c r="E60" s="68" t="s">
        <v>285</v>
      </c>
      <c r="F60" s="139">
        <f>F58-F61</f>
        <v>212.26</v>
      </c>
      <c r="G60" s="183"/>
      <c r="H60" s="138"/>
      <c r="I60" s="108" t="s">
        <v>280</v>
      </c>
      <c r="J60" s="318">
        <v>0</v>
      </c>
      <c r="K60" s="109" t="s">
        <v>286</v>
      </c>
    </row>
    <row r="61" spans="1:11" x14ac:dyDescent="0.2">
      <c r="A61" s="67">
        <f t="shared" si="1"/>
        <v>28</v>
      </c>
      <c r="B61" s="78"/>
      <c r="C61" s="68" t="s">
        <v>133</v>
      </c>
      <c r="D61" s="180" t="s">
        <v>408</v>
      </c>
      <c r="E61" s="114" t="s">
        <v>287</v>
      </c>
      <c r="F61" s="140">
        <v>23.58</v>
      </c>
      <c r="G61" s="183"/>
      <c r="H61" s="138"/>
      <c r="I61" s="108" t="s">
        <v>280</v>
      </c>
      <c r="J61" s="318">
        <v>0</v>
      </c>
      <c r="K61" s="109" t="s">
        <v>288</v>
      </c>
    </row>
    <row r="62" spans="1:11" x14ac:dyDescent="0.2">
      <c r="A62" s="67">
        <f t="shared" si="1"/>
        <v>29</v>
      </c>
      <c r="B62" s="78"/>
      <c r="C62" s="68" t="s">
        <v>133</v>
      </c>
      <c r="D62" s="180" t="s">
        <v>408</v>
      </c>
      <c r="E62" s="70" t="s">
        <v>289</v>
      </c>
      <c r="F62" s="138"/>
      <c r="G62" s="184">
        <v>3.58</v>
      </c>
      <c r="H62" s="138"/>
      <c r="I62" s="108" t="s">
        <v>280</v>
      </c>
      <c r="J62" s="318">
        <v>0</v>
      </c>
      <c r="K62" s="109" t="s">
        <v>290</v>
      </c>
    </row>
    <row r="63" spans="1:11" x14ac:dyDescent="0.2">
      <c r="A63" s="67">
        <f t="shared" si="0"/>
        <v>30</v>
      </c>
      <c r="B63" s="78"/>
      <c r="C63" s="68" t="s">
        <v>133</v>
      </c>
      <c r="D63" s="180" t="s">
        <v>408</v>
      </c>
      <c r="E63" s="68" t="s">
        <v>303</v>
      </c>
      <c r="F63" s="138"/>
      <c r="G63" s="185">
        <f>SUM(G62:G62)</f>
        <v>3.58</v>
      </c>
      <c r="H63" s="138"/>
      <c r="I63" s="108" t="s">
        <v>280</v>
      </c>
      <c r="J63" s="318">
        <v>0</v>
      </c>
      <c r="K63" s="109" t="s">
        <v>304</v>
      </c>
    </row>
    <row r="64" spans="1:11" x14ac:dyDescent="0.2">
      <c r="A64" s="67">
        <f t="shared" si="0"/>
        <v>31</v>
      </c>
      <c r="B64" s="78"/>
      <c r="C64" s="68" t="s">
        <v>133</v>
      </c>
      <c r="D64" s="180" t="s">
        <v>408</v>
      </c>
      <c r="E64" s="81" t="s">
        <v>305</v>
      </c>
      <c r="F64" s="138"/>
      <c r="G64" s="185">
        <f>+G48</f>
        <v>0</v>
      </c>
      <c r="H64" s="138"/>
      <c r="I64" s="108" t="s">
        <v>280</v>
      </c>
      <c r="J64" s="318">
        <v>0</v>
      </c>
      <c r="K64" s="109" t="s">
        <v>306</v>
      </c>
    </row>
    <row r="65" spans="1:11" x14ac:dyDescent="0.2">
      <c r="A65" s="67">
        <f t="shared" si="0"/>
        <v>32</v>
      </c>
      <c r="B65" s="78"/>
      <c r="C65" s="68" t="s">
        <v>133</v>
      </c>
      <c r="D65" s="180" t="s">
        <v>408</v>
      </c>
      <c r="E65" s="81" t="s">
        <v>307</v>
      </c>
      <c r="F65" s="138"/>
      <c r="G65" s="185">
        <f>SUM(G63:G64)</f>
        <v>3.58</v>
      </c>
      <c r="H65" s="138"/>
      <c r="I65" s="108" t="s">
        <v>280</v>
      </c>
      <c r="J65" s="318">
        <v>0</v>
      </c>
      <c r="K65" s="109" t="s">
        <v>308</v>
      </c>
    </row>
    <row r="66" spans="1:11" x14ac:dyDescent="0.2">
      <c r="A66" s="67">
        <f t="shared" si="0"/>
        <v>33</v>
      </c>
      <c r="B66" s="78"/>
      <c r="C66" s="68" t="s">
        <v>133</v>
      </c>
      <c r="D66" s="180" t="s">
        <v>408</v>
      </c>
      <c r="E66" s="78" t="s">
        <v>309</v>
      </c>
      <c r="F66" s="138"/>
      <c r="G66" s="183"/>
      <c r="H66" s="138">
        <v>0</v>
      </c>
      <c r="I66" s="108" t="s">
        <v>280</v>
      </c>
      <c r="J66" s="318">
        <v>0</v>
      </c>
      <c r="K66" s="109" t="s">
        <v>310</v>
      </c>
    </row>
    <row r="67" spans="1:11" x14ac:dyDescent="0.2">
      <c r="A67" s="67">
        <f t="shared" si="0"/>
        <v>34</v>
      </c>
      <c r="B67" s="78"/>
      <c r="C67" s="68" t="s">
        <v>133</v>
      </c>
      <c r="D67" s="180" t="s">
        <v>408</v>
      </c>
      <c r="E67" s="68" t="s">
        <v>311</v>
      </c>
      <c r="F67" s="138"/>
      <c r="G67" s="183"/>
      <c r="H67" s="139">
        <f>ROUND((+F57*G65)+H66,2)</f>
        <v>6754.35</v>
      </c>
      <c r="I67" s="108" t="s">
        <v>280</v>
      </c>
      <c r="J67" s="318">
        <v>0</v>
      </c>
      <c r="K67" s="109" t="s">
        <v>312</v>
      </c>
    </row>
    <row r="68" spans="1:11" x14ac:dyDescent="0.2">
      <c r="A68" s="67">
        <f t="shared" si="0"/>
        <v>35</v>
      </c>
      <c r="B68" s="78"/>
      <c r="C68" s="68" t="s">
        <v>133</v>
      </c>
      <c r="D68" s="180" t="s">
        <v>408</v>
      </c>
      <c r="E68" s="68" t="s">
        <v>313</v>
      </c>
      <c r="F68" s="138"/>
      <c r="G68" s="183"/>
      <c r="H68" s="139">
        <f>ROUND(+F58*G65,2)</f>
        <v>844.31</v>
      </c>
      <c r="I68" s="108" t="s">
        <v>280</v>
      </c>
      <c r="J68" s="318">
        <v>0</v>
      </c>
      <c r="K68" s="172" t="s">
        <v>314</v>
      </c>
    </row>
    <row r="69" spans="1:11" x14ac:dyDescent="0.2">
      <c r="A69" s="168">
        <f t="shared" si="0"/>
        <v>36</v>
      </c>
      <c r="B69" s="169"/>
      <c r="C69" s="170" t="s">
        <v>133</v>
      </c>
      <c r="D69" s="180" t="s">
        <v>408</v>
      </c>
      <c r="E69" s="170" t="s">
        <v>378</v>
      </c>
      <c r="F69" s="138"/>
      <c r="G69" s="183"/>
      <c r="H69" s="138"/>
      <c r="I69" s="108" t="s">
        <v>280</v>
      </c>
      <c r="J69" s="319">
        <v>6</v>
      </c>
      <c r="K69" s="172" t="s">
        <v>379</v>
      </c>
    </row>
    <row r="70" spans="1:11" x14ac:dyDescent="0.2">
      <c r="A70" s="168">
        <f t="shared" si="0"/>
        <v>37</v>
      </c>
      <c r="B70" s="169"/>
      <c r="C70" s="170" t="s">
        <v>133</v>
      </c>
      <c r="D70" s="180" t="s">
        <v>407</v>
      </c>
      <c r="E70" s="170" t="s">
        <v>400</v>
      </c>
      <c r="F70" s="139">
        <f>F57/J69</f>
        <v>314.44833333333332</v>
      </c>
      <c r="G70" s="183"/>
      <c r="H70" s="138"/>
      <c r="I70" s="108" t="s">
        <v>280</v>
      </c>
      <c r="J70" s="318">
        <v>0</v>
      </c>
      <c r="K70" s="172" t="s">
        <v>403</v>
      </c>
    </row>
    <row r="71" spans="1:11" x14ac:dyDescent="0.2">
      <c r="A71" s="168">
        <f t="shared" si="0"/>
        <v>38</v>
      </c>
      <c r="B71" s="169"/>
      <c r="C71" s="170" t="s">
        <v>133</v>
      </c>
      <c r="D71" s="180" t="s">
        <v>408</v>
      </c>
      <c r="E71" s="170" t="s">
        <v>315</v>
      </c>
      <c r="F71" s="138"/>
      <c r="G71" s="185">
        <f>+G53</f>
        <v>0.19839999999999999</v>
      </c>
      <c r="H71" s="138"/>
      <c r="I71" s="108" t="s">
        <v>280</v>
      </c>
      <c r="J71" s="318">
        <v>0</v>
      </c>
      <c r="K71" s="172" t="s">
        <v>316</v>
      </c>
    </row>
    <row r="72" spans="1:11" x14ac:dyDescent="0.2">
      <c r="A72" s="168">
        <f t="shared" si="0"/>
        <v>39</v>
      </c>
      <c r="B72" s="169"/>
      <c r="C72" s="170" t="s">
        <v>133</v>
      </c>
      <c r="D72" s="180" t="s">
        <v>408</v>
      </c>
      <c r="E72" s="170" t="s">
        <v>34</v>
      </c>
      <c r="F72" s="138"/>
      <c r="G72" s="141"/>
      <c r="H72" s="139">
        <f>ROUND(+F70*G71,2)</f>
        <v>62.39</v>
      </c>
      <c r="I72" s="108" t="s">
        <v>280</v>
      </c>
      <c r="J72" s="318">
        <v>0</v>
      </c>
      <c r="K72" s="172" t="s">
        <v>317</v>
      </c>
    </row>
    <row r="74" spans="1:11" x14ac:dyDescent="0.2">
      <c r="H74" s="115"/>
    </row>
    <row r="76" spans="1:11" x14ac:dyDescent="0.2">
      <c r="G76" s="117"/>
    </row>
  </sheetData>
  <sheetProtection selectLockedCells="1"/>
  <conditionalFormatting sqref="A37:B45 A34:B35">
    <cfRule type="cellIs" dxfId="2" priority="1" stopIfTrue="1" operator="equal">
      <formula>"A32"</formula>
    </cfRule>
  </conditionalFormatting>
  <pageMargins left="0" right="0" top="0.5" bottom="0.5" header="0.25" footer="0.25"/>
  <pageSetup scale="74" orientation="portrait" r:id="rId1"/>
  <headerFooter alignWithMargins="0">
    <oddFooter>&amp;R&amp;"Arial,Bold"&amp;6File:&amp;F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83"/>
  <sheetViews>
    <sheetView zoomScaleNormal="100" workbookViewId="0">
      <selection activeCell="C14" sqref="C14"/>
    </sheetView>
  </sheetViews>
  <sheetFormatPr defaultRowHeight="11.25" x14ac:dyDescent="0.2"/>
  <cols>
    <col min="1" max="1" width="7" style="6" customWidth="1"/>
    <col min="2" max="2" width="11.85546875" style="6" customWidth="1"/>
    <col min="3" max="3" width="9.7109375" style="6" customWidth="1"/>
    <col min="4" max="4" width="11.85546875" style="6" customWidth="1"/>
    <col min="5" max="5" width="9.140625" style="6"/>
    <col min="6" max="6" width="18.28515625" style="8" customWidth="1"/>
    <col min="7" max="16384" width="9.140625" style="322"/>
  </cols>
  <sheetData>
    <row r="1" spans="1:7" s="15" customFormat="1" ht="46.5" customHeight="1" x14ac:dyDescent="0.2">
      <c r="A1" s="15" t="str">
        <f>'AC - Example'!A1</f>
        <v>ALASKA DNR - OIL &amp; GAS  V 1.201212</v>
      </c>
      <c r="B1" s="321"/>
      <c r="F1" s="16"/>
    </row>
    <row r="2" spans="1:7" x14ac:dyDescent="0.2">
      <c r="A2" s="23" t="s">
        <v>39</v>
      </c>
      <c r="B2" s="1"/>
      <c r="C2" s="35" t="s">
        <v>323</v>
      </c>
      <c r="D2" s="1"/>
      <c r="E2" s="1"/>
      <c r="F2" s="5" t="str">
        <f>+'AC - Example'!G2</f>
        <v>AC</v>
      </c>
      <c r="G2" s="20"/>
    </row>
    <row r="3" spans="1:7" s="323" customFormat="1" x14ac:dyDescent="0.2">
      <c r="A3" s="33" t="s">
        <v>33</v>
      </c>
      <c r="B3" s="1"/>
      <c r="C3" s="35" t="s">
        <v>322</v>
      </c>
      <c r="D3" s="1"/>
      <c r="E3" s="1"/>
      <c r="F3" s="5" t="str">
        <f>+'AC - Example'!G3</f>
        <v>AL</v>
      </c>
      <c r="G3" s="20"/>
    </row>
    <row r="4" spans="1:7" s="324" customFormat="1" x14ac:dyDescent="0.2">
      <c r="A4" s="18" t="s">
        <v>40</v>
      </c>
      <c r="B4" s="19"/>
      <c r="C4" s="19"/>
      <c r="D4" s="19"/>
      <c r="E4" s="19"/>
      <c r="F4" s="5" t="str">
        <f>+'AC - Example'!G4</f>
        <v>REG</v>
      </c>
    </row>
    <row r="5" spans="1:7" x14ac:dyDescent="0.2">
      <c r="A5" s="4" t="s">
        <v>14</v>
      </c>
      <c r="B5" s="1"/>
      <c r="C5" s="1"/>
      <c r="D5" s="1"/>
      <c r="E5" s="1"/>
      <c r="F5" s="5" t="str">
        <f>+'AC - Example'!G5</f>
        <v>000012345</v>
      </c>
    </row>
    <row r="6" spans="1:7" x14ac:dyDescent="0.2">
      <c r="A6" s="1"/>
      <c r="B6" s="1"/>
      <c r="C6" s="1"/>
      <c r="D6" s="1"/>
      <c r="E6" s="1"/>
      <c r="F6" s="1"/>
    </row>
    <row r="7" spans="1:7" x14ac:dyDescent="0.2">
      <c r="A7" s="4" t="s">
        <v>15</v>
      </c>
      <c r="B7" s="1"/>
      <c r="C7" s="1"/>
      <c r="D7" s="1"/>
      <c r="E7" s="1"/>
      <c r="F7" s="126">
        <f>+'AC - Example'!G7</f>
        <v>41183</v>
      </c>
    </row>
    <row r="8" spans="1:7" x14ac:dyDescent="0.2">
      <c r="A8" s="4" t="s">
        <v>17</v>
      </c>
      <c r="B8" s="1"/>
      <c r="C8" s="1"/>
      <c r="D8" s="1"/>
      <c r="E8" s="1"/>
      <c r="F8" s="5" t="str">
        <f>+'AC - Example'!G8</f>
        <v>00</v>
      </c>
    </row>
    <row r="9" spans="1:7" x14ac:dyDescent="0.2">
      <c r="A9" s="4" t="s">
        <v>5</v>
      </c>
      <c r="B9" s="1"/>
      <c r="C9" s="1"/>
      <c r="D9" s="1"/>
      <c r="E9" s="1"/>
      <c r="F9" s="126">
        <f>+'AC - Example'!G9</f>
        <v>41244</v>
      </c>
    </row>
    <row r="10" spans="1:7" x14ac:dyDescent="0.2">
      <c r="A10" s="4" t="s">
        <v>16</v>
      </c>
      <c r="B10" s="1"/>
      <c r="C10" s="1"/>
      <c r="D10" s="1"/>
      <c r="E10" s="1"/>
      <c r="F10" s="5" t="str">
        <f>+'AC - Example'!G10</f>
        <v>000012345N12201200</v>
      </c>
    </row>
    <row r="11" spans="1:7" x14ac:dyDescent="0.2">
      <c r="A11" s="4" t="s">
        <v>13</v>
      </c>
      <c r="B11" s="1"/>
      <c r="C11" s="1"/>
      <c r="D11" s="1"/>
      <c r="E11" s="1"/>
      <c r="F11" s="126">
        <f>+'AC - Example'!G11</f>
        <v>41265</v>
      </c>
    </row>
    <row r="12" spans="1:7" x14ac:dyDescent="0.2">
      <c r="A12" s="4" t="s">
        <v>7</v>
      </c>
      <c r="B12" s="1"/>
      <c r="C12" s="1"/>
      <c r="D12" s="1"/>
      <c r="E12" s="1"/>
      <c r="F12" s="5" t="str">
        <f>'AC - Example'!G12</f>
        <v>ADL #</v>
      </c>
    </row>
    <row r="13" spans="1:7" x14ac:dyDescent="0.2">
      <c r="A13" s="4"/>
      <c r="B13" s="1"/>
      <c r="C13" s="1"/>
      <c r="D13" s="1"/>
      <c r="E13" s="1"/>
      <c r="F13" s="1"/>
    </row>
    <row r="14" spans="1:7" x14ac:dyDescent="0.2">
      <c r="A14" s="4"/>
      <c r="B14" s="1"/>
      <c r="C14" s="1"/>
      <c r="D14" s="1"/>
      <c r="E14" s="1"/>
      <c r="F14" s="1"/>
    </row>
    <row r="15" spans="1:7" x14ac:dyDescent="0.2">
      <c r="A15" s="4"/>
      <c r="B15" s="1"/>
      <c r="C15" s="1"/>
      <c r="D15" s="1"/>
      <c r="E15" s="1"/>
      <c r="F15" s="1"/>
    </row>
    <row r="16" spans="1:7" x14ac:dyDescent="0.2">
      <c r="A16" s="4"/>
      <c r="B16" s="1"/>
      <c r="C16" s="1"/>
      <c r="D16" s="1"/>
      <c r="E16" s="1"/>
      <c r="F16" s="1"/>
    </row>
    <row r="17" spans="1:6" x14ac:dyDescent="0.2">
      <c r="A17" s="4"/>
      <c r="B17" s="1"/>
      <c r="C17" s="1"/>
      <c r="D17" s="1"/>
      <c r="E17" s="1"/>
      <c r="F17" s="1"/>
    </row>
    <row r="18" spans="1:6" s="324" customFormat="1" ht="12" customHeight="1" x14ac:dyDescent="0.2">
      <c r="A18" s="3"/>
      <c r="B18" s="3"/>
      <c r="C18" s="3"/>
      <c r="D18" s="3"/>
      <c r="E18" s="3"/>
      <c r="F18" s="3"/>
    </row>
    <row r="19" spans="1:6" x14ac:dyDescent="0.2">
      <c r="A19" s="4" t="s">
        <v>22</v>
      </c>
      <c r="B19" s="1"/>
      <c r="C19" s="1"/>
      <c r="D19" s="1"/>
      <c r="E19" s="1"/>
      <c r="F19" s="5" t="str">
        <f>'AC - Example'!G19</f>
        <v>XYZ Company</v>
      </c>
    </row>
    <row r="20" spans="1:6" x14ac:dyDescent="0.2">
      <c r="A20" s="4"/>
      <c r="B20" s="1"/>
      <c r="C20" s="1"/>
      <c r="D20" s="1"/>
      <c r="E20" s="1"/>
      <c r="F20" s="13"/>
    </row>
    <row r="21" spans="1:6" x14ac:dyDescent="0.2">
      <c r="A21" s="4" t="s">
        <v>0</v>
      </c>
      <c r="B21" s="1"/>
      <c r="C21" s="1"/>
      <c r="D21" s="1"/>
      <c r="E21" s="1"/>
      <c r="F21" s="5" t="str">
        <f>'AC - Example'!G21</f>
        <v>Enter Data</v>
      </c>
    </row>
    <row r="22" spans="1:6" x14ac:dyDescent="0.2">
      <c r="A22" s="4" t="s">
        <v>1</v>
      </c>
      <c r="B22" s="1"/>
      <c r="C22" s="1"/>
      <c r="D22" s="1"/>
      <c r="E22" s="1"/>
      <c r="F22" s="5" t="str">
        <f>'AC - Example'!G22</f>
        <v>Enter Data</v>
      </c>
    </row>
    <row r="23" spans="1:6" x14ac:dyDescent="0.2">
      <c r="A23" s="4" t="s">
        <v>2</v>
      </c>
      <c r="B23" s="1"/>
      <c r="C23" s="1"/>
      <c r="D23" s="1"/>
      <c r="E23" s="1"/>
      <c r="F23" s="5" t="str">
        <f>'AC - Example'!G23</f>
        <v>Enter Data</v>
      </c>
    </row>
    <row r="24" spans="1:6" x14ac:dyDescent="0.2">
      <c r="A24" s="4" t="s">
        <v>3</v>
      </c>
      <c r="B24" s="1"/>
      <c r="C24" s="1"/>
      <c r="D24" s="1"/>
      <c r="E24" s="1"/>
      <c r="F24" s="5" t="str">
        <f>'AC - Example'!G24</f>
        <v>Enter Data</v>
      </c>
    </row>
    <row r="25" spans="1:6" x14ac:dyDescent="0.2">
      <c r="A25" s="4" t="s">
        <v>4</v>
      </c>
      <c r="B25" s="1"/>
      <c r="C25" s="1"/>
      <c r="D25" s="1"/>
      <c r="E25" s="1"/>
      <c r="F25" s="5" t="str">
        <f>'AC - Example'!G25</f>
        <v>Enter Data</v>
      </c>
    </row>
    <row r="26" spans="1:6" x14ac:dyDescent="0.2">
      <c r="A26" s="4" t="s">
        <v>6</v>
      </c>
      <c r="B26" s="1"/>
      <c r="C26" s="1"/>
      <c r="D26" s="1"/>
      <c r="E26" s="1"/>
      <c r="F26" s="5" t="str">
        <f>'AC - Example'!G26</f>
        <v>Enter Data</v>
      </c>
    </row>
    <row r="27" spans="1:6" x14ac:dyDescent="0.2">
      <c r="A27" s="4" t="s">
        <v>8</v>
      </c>
      <c r="B27" s="1"/>
      <c r="C27" s="1"/>
      <c r="D27" s="1"/>
      <c r="E27" s="1"/>
      <c r="F27" s="5" t="str">
        <f>'AC - Example'!G27</f>
        <v>Enter Data</v>
      </c>
    </row>
    <row r="28" spans="1:6" x14ac:dyDescent="0.2">
      <c r="A28" s="4" t="s">
        <v>9</v>
      </c>
      <c r="B28" s="1"/>
      <c r="C28" s="1"/>
      <c r="D28" s="1"/>
      <c r="E28" s="1"/>
      <c r="F28" s="5" t="str">
        <f>'AC - Example'!G28</f>
        <v>Enter Data</v>
      </c>
    </row>
    <row r="29" spans="1:6" x14ac:dyDescent="0.2">
      <c r="A29" s="4" t="s">
        <v>12</v>
      </c>
      <c r="B29" s="1"/>
      <c r="C29" s="1"/>
      <c r="D29" s="1"/>
      <c r="E29" s="1"/>
      <c r="F29" s="5" t="str">
        <f>'AC - Example'!G29</f>
        <v>Enter Data</v>
      </c>
    </row>
    <row r="30" spans="1:6" x14ac:dyDescent="0.2">
      <c r="A30" s="4" t="s">
        <v>18</v>
      </c>
      <c r="B30" s="1"/>
      <c r="C30" s="1"/>
      <c r="D30" s="1"/>
      <c r="E30" s="1"/>
      <c r="F30" s="5" t="str">
        <f>'AC - Example'!G30</f>
        <v>Enter Data</v>
      </c>
    </row>
    <row r="31" spans="1:6" x14ac:dyDescent="0.2">
      <c r="A31" s="4" t="s">
        <v>10</v>
      </c>
      <c r="B31" s="1"/>
      <c r="C31" s="1"/>
      <c r="D31" s="1"/>
      <c r="E31" s="1"/>
      <c r="F31" s="5" t="str">
        <f>'AC - Example'!G31</f>
        <v>Enter Data</v>
      </c>
    </row>
    <row r="32" spans="1:6" x14ac:dyDescent="0.2">
      <c r="A32" s="4" t="s">
        <v>11</v>
      </c>
      <c r="B32" s="1"/>
      <c r="C32" s="1"/>
      <c r="D32" s="1"/>
      <c r="E32" s="1"/>
      <c r="F32" s="5" t="str">
        <f>'AC - Example'!G32</f>
        <v>Enter Data</v>
      </c>
    </row>
    <row r="33" spans="1:6" s="325" customFormat="1" ht="22.5" x14ac:dyDescent="0.2">
      <c r="A33" s="7" t="s">
        <v>19</v>
      </c>
      <c r="B33" s="7" t="s">
        <v>23</v>
      </c>
      <c r="C33" s="7" t="s">
        <v>24</v>
      </c>
      <c r="D33" s="7" t="s">
        <v>20</v>
      </c>
      <c r="E33" s="7" t="s">
        <v>25</v>
      </c>
      <c r="F33" s="7" t="s">
        <v>21</v>
      </c>
    </row>
    <row r="34" spans="1:6" x14ac:dyDescent="0.2">
      <c r="A34" s="127">
        <f>'AC - Example'!A34</f>
        <v>1</v>
      </c>
      <c r="B34" s="5" t="str">
        <f>'AC - Example'!C34</f>
        <v>LEASE</v>
      </c>
      <c r="C34" s="5" t="str">
        <f>'AC - Example'!D34</f>
        <v>DV</v>
      </c>
      <c r="D34" s="5" t="str">
        <f>'AC - Example'!E34</f>
        <v>BEGB</v>
      </c>
      <c r="E34" s="155"/>
      <c r="F34" s="144">
        <f>'AC - Example'!G34</f>
        <v>0</v>
      </c>
    </row>
    <row r="35" spans="1:6" x14ac:dyDescent="0.2">
      <c r="A35" s="127">
        <f>'AC - Example'!A35</f>
        <v>2</v>
      </c>
      <c r="B35" s="5" t="str">
        <f>'AC - Example'!C35</f>
        <v>ABC</v>
      </c>
      <c r="C35" s="5" t="str">
        <f>'AC - Example'!D35</f>
        <v>DV</v>
      </c>
      <c r="D35" s="5" t="str">
        <f>'AC - Example'!E35</f>
        <v>EPPD</v>
      </c>
      <c r="E35" s="155"/>
      <c r="F35" s="144">
        <f>'AC - Example'!G35</f>
        <v>0</v>
      </c>
    </row>
    <row r="36" spans="1:6" x14ac:dyDescent="0.2">
      <c r="A36" s="127">
        <f>'AC - Example'!A36</f>
        <v>3</v>
      </c>
      <c r="B36" s="5" t="str">
        <f>'AC - Example'!C36</f>
        <v>ABC</v>
      </c>
      <c r="C36" s="5" t="str">
        <f>'AC - Example'!D36</f>
        <v>DV</v>
      </c>
      <c r="D36" s="5" t="str">
        <f>'AC - Example'!E36</f>
        <v>CPD</v>
      </c>
      <c r="E36" s="155"/>
      <c r="F36" s="144">
        <f>'AC - Example'!G36</f>
        <v>0</v>
      </c>
    </row>
    <row r="37" spans="1:6" x14ac:dyDescent="0.2">
      <c r="A37" s="127">
        <f>'AC - Example'!A37</f>
        <v>4</v>
      </c>
      <c r="B37" s="5" t="str">
        <f>'AC - Example'!C37</f>
        <v>ABC</v>
      </c>
      <c r="C37" s="5" t="str">
        <f>'AC - Example'!D37</f>
        <v>DV</v>
      </c>
      <c r="D37" s="5" t="str">
        <f>'AC - Example'!E37</f>
        <v>CWP</v>
      </c>
      <c r="E37" s="155"/>
      <c r="F37" s="144">
        <f>'AC - Example'!G37</f>
        <v>1500000.12</v>
      </c>
    </row>
    <row r="38" spans="1:6" x14ac:dyDescent="0.2">
      <c r="A38" s="127">
        <f>'AC - Example'!A38</f>
        <v>5</v>
      </c>
      <c r="B38" s="5" t="str">
        <f>'AC - Example'!C38</f>
        <v>ABC</v>
      </c>
      <c r="C38" s="5" t="str">
        <f>'AC - Example'!D38</f>
        <v>DV</v>
      </c>
      <c r="D38" s="5" t="str">
        <f>'AC - Example'!E38</f>
        <v>DCW</v>
      </c>
      <c r="E38" s="155"/>
      <c r="F38" s="144">
        <f>'AC - Example'!G38</f>
        <v>1000000.56</v>
      </c>
    </row>
    <row r="39" spans="1:6" x14ac:dyDescent="0.2">
      <c r="A39" s="127">
        <f>'AC - Example'!A39</f>
        <v>6</v>
      </c>
      <c r="B39" s="5" t="str">
        <f>'AC - Example'!C39</f>
        <v>ABC</v>
      </c>
      <c r="C39" s="5" t="str">
        <f>'AC - Example'!D39</f>
        <v>DV</v>
      </c>
      <c r="D39" s="5" t="str">
        <f>'AC - Example'!E39</f>
        <v>WLE</v>
      </c>
      <c r="E39" s="155"/>
      <c r="F39" s="144">
        <f>'AC - Example'!G39</f>
        <v>100000.77</v>
      </c>
    </row>
    <row r="40" spans="1:6" x14ac:dyDescent="0.2">
      <c r="A40" s="127">
        <f>'AC - Example'!A40</f>
        <v>7</v>
      </c>
      <c r="B40" s="5" t="str">
        <f>'AC - Example'!C40</f>
        <v>LEASE</v>
      </c>
      <c r="C40" s="5" t="str">
        <f>'AC - Example'!D40</f>
        <v>DV</v>
      </c>
      <c r="D40" s="5" t="str">
        <f>'AC - Example'!E40</f>
        <v>AAOH</v>
      </c>
      <c r="E40" s="155"/>
      <c r="F40" s="144">
        <f>'AC - Example'!G40</f>
        <v>0</v>
      </c>
    </row>
    <row r="41" spans="1:6" x14ac:dyDescent="0.2">
      <c r="A41" s="127">
        <f>'AC - Example'!A41</f>
        <v>8</v>
      </c>
      <c r="B41" s="5" t="str">
        <f>'AC - Example'!C41</f>
        <v>LEASE</v>
      </c>
      <c r="C41" s="5" t="str">
        <f>'AC - Example'!D41</f>
        <v>DV</v>
      </c>
      <c r="D41" s="5" t="str">
        <f>'AC - Example'!E41</f>
        <v>TOI</v>
      </c>
      <c r="E41" s="155"/>
      <c r="F41" s="144">
        <f>'AC - Example'!G41</f>
        <v>2600001.4500000002</v>
      </c>
    </row>
    <row r="42" spans="1:6" x14ac:dyDescent="0.2">
      <c r="A42" s="127">
        <f>'AC - Example'!A42</f>
        <v>9</v>
      </c>
      <c r="B42" s="5" t="str">
        <f>'AC - Example'!C42</f>
        <v>LEASE</v>
      </c>
      <c r="C42" s="5" t="str">
        <f>'AC - Example'!D42</f>
        <v>DV</v>
      </c>
      <c r="D42" s="5" t="str">
        <f>'AC - Example'!E42</f>
        <v>OVHR</v>
      </c>
      <c r="E42" s="156">
        <f>'AC - Example'!F42</f>
        <v>0.03</v>
      </c>
      <c r="F42" s="144"/>
    </row>
    <row r="43" spans="1:6" x14ac:dyDescent="0.2">
      <c r="A43" s="127">
        <f>'AC - Example'!A43</f>
        <v>10</v>
      </c>
      <c r="B43" s="5" t="str">
        <f>'AC - Example'!C43</f>
        <v>LEASE</v>
      </c>
      <c r="C43" s="5" t="str">
        <f>'AC - Example'!D43</f>
        <v>DV</v>
      </c>
      <c r="D43" s="5" t="str">
        <f>'AC - Example'!E43</f>
        <v>GOAE</v>
      </c>
      <c r="E43" s="155"/>
      <c r="F43" s="144">
        <f>'AC - Example'!G43</f>
        <v>78000.039999999994</v>
      </c>
    </row>
    <row r="44" spans="1:6" x14ac:dyDescent="0.2">
      <c r="A44" s="127">
        <f>'AC - Example'!A44</f>
        <v>11</v>
      </c>
      <c r="B44" s="5" t="str">
        <f>'AC - Example'!C44</f>
        <v>ABC</v>
      </c>
      <c r="C44" s="5" t="str">
        <f>'AC - Example'!D44</f>
        <v>DV</v>
      </c>
      <c r="D44" s="5" t="str">
        <f>'AC - Example'!E44</f>
        <v>RLP</v>
      </c>
      <c r="E44" s="155"/>
      <c r="F44" s="144">
        <f>'AC - Example'!G44</f>
        <v>0</v>
      </c>
    </row>
    <row r="45" spans="1:6" x14ac:dyDescent="0.2">
      <c r="A45" s="127">
        <f>'AC - Example'!A45</f>
        <v>12</v>
      </c>
      <c r="B45" s="5" t="str">
        <f>'AC - Example'!C45</f>
        <v>ABC</v>
      </c>
      <c r="C45" s="5" t="str">
        <f>'AC - Example'!D45</f>
        <v>DV</v>
      </c>
      <c r="D45" s="5" t="str">
        <f>'AC - Example'!E45</f>
        <v>API</v>
      </c>
      <c r="E45" s="155"/>
      <c r="F45" s="144">
        <f>'AC - Example'!G45</f>
        <v>0</v>
      </c>
    </row>
    <row r="46" spans="1:6" x14ac:dyDescent="0.2">
      <c r="A46" s="127">
        <f>'AC - Example'!A46</f>
        <v>13</v>
      </c>
      <c r="B46" s="5" t="str">
        <f>'AC - Example'!C46</f>
        <v>ABC</v>
      </c>
      <c r="C46" s="5" t="str">
        <f>'AC - Example'!D46</f>
        <v>DV</v>
      </c>
      <c r="D46" s="5" t="str">
        <f>'AC - Example'!E46</f>
        <v>PPT</v>
      </c>
      <c r="E46" s="155"/>
      <c r="F46" s="144">
        <f>'AC - Example'!G46</f>
        <v>0</v>
      </c>
    </row>
    <row r="47" spans="1:6" x14ac:dyDescent="0.2">
      <c r="A47" s="127">
        <f>'AC - Example'!A47</f>
        <v>14</v>
      </c>
      <c r="B47" s="5" t="str">
        <f>'AC - Example'!C47</f>
        <v>ABC</v>
      </c>
      <c r="C47" s="5" t="str">
        <f>'AC - Example'!D47</f>
        <v>DV</v>
      </c>
      <c r="D47" s="5" t="str">
        <f>'AC - Example'!E47</f>
        <v>RTO</v>
      </c>
      <c r="E47" s="155"/>
      <c r="F47" s="144">
        <f>'AC - Example'!G47</f>
        <v>0</v>
      </c>
    </row>
    <row r="48" spans="1:6" x14ac:dyDescent="0.2">
      <c r="A48" s="127">
        <f>'AC - Example'!A48</f>
        <v>15</v>
      </c>
      <c r="B48" s="5" t="str">
        <f>'AC - Example'!C48</f>
        <v>ABC</v>
      </c>
      <c r="C48" s="5" t="str">
        <f>'AC - Example'!D48</f>
        <v>DV</v>
      </c>
      <c r="D48" s="5" t="str">
        <f>'AC - Example'!E48</f>
        <v>EIC</v>
      </c>
      <c r="E48" s="155"/>
      <c r="F48" s="144">
        <f>'AC - Example'!G48</f>
        <v>0</v>
      </c>
    </row>
    <row r="49" spans="1:6" x14ac:dyDescent="0.2">
      <c r="A49" s="127">
        <f>'AC - Example'!A49</f>
        <v>16</v>
      </c>
      <c r="B49" s="5" t="str">
        <f>'AC - Example'!C49</f>
        <v>LEASE</v>
      </c>
      <c r="C49" s="5" t="str">
        <f>'AC - Example'!D49</f>
        <v>DV</v>
      </c>
      <c r="D49" s="5" t="str">
        <f>'AC - Example'!E49</f>
        <v>PTDC</v>
      </c>
      <c r="E49" s="155"/>
      <c r="F49" s="144">
        <f>'AC - Example'!G49</f>
        <v>-460234.31</v>
      </c>
    </row>
    <row r="50" spans="1:6" x14ac:dyDescent="0.2">
      <c r="A50" s="127">
        <f>'AC - Example'!A50</f>
        <v>17</v>
      </c>
      <c r="B50" s="5" t="str">
        <f>'AC - Example'!C50</f>
        <v>LEASE</v>
      </c>
      <c r="C50" s="5" t="str">
        <f>'AC - Example'!D50</f>
        <v>DV</v>
      </c>
      <c r="D50" s="5" t="str">
        <f>'AC - Example'!E50</f>
        <v>AANOH</v>
      </c>
      <c r="E50" s="155"/>
      <c r="F50" s="144">
        <f>'AC - Example'!G50</f>
        <v>0</v>
      </c>
    </row>
    <row r="51" spans="1:6" x14ac:dyDescent="0.2">
      <c r="A51" s="127">
        <f>'AC - Example'!A51</f>
        <v>18</v>
      </c>
      <c r="B51" s="5" t="str">
        <f>'AC - Example'!C51</f>
        <v>LEASE</v>
      </c>
      <c r="C51" s="5" t="str">
        <f>'AC - Example'!D51</f>
        <v>DV</v>
      </c>
      <c r="D51" s="5" t="str">
        <f>'AC - Example'!E51</f>
        <v>CAPF</v>
      </c>
      <c r="E51" s="155"/>
      <c r="F51" s="144">
        <f>'AC - Example'!G51</f>
        <v>768000.12</v>
      </c>
    </row>
    <row r="52" spans="1:6" x14ac:dyDescent="0.2">
      <c r="A52" s="127">
        <f>'AC - Example'!A52</f>
        <v>19</v>
      </c>
      <c r="B52" s="5" t="str">
        <f>'AC - Example'!C52</f>
        <v>LEASE</v>
      </c>
      <c r="C52" s="5" t="str">
        <f>'AC - Example'!D52</f>
        <v>DV</v>
      </c>
      <c r="D52" s="5" t="str">
        <f>'AC - Example'!E52</f>
        <v>TOTDC</v>
      </c>
      <c r="E52" s="155"/>
      <c r="F52" s="144">
        <f>'AC - Example'!G52</f>
        <v>2985767.3000000003</v>
      </c>
    </row>
    <row r="53" spans="1:6" x14ac:dyDescent="0.2">
      <c r="A53" s="127">
        <f>'AC - Example'!A53</f>
        <v>20</v>
      </c>
      <c r="B53" s="5" t="str">
        <f>'AC - Example'!C53</f>
        <v>LEASE</v>
      </c>
      <c r="C53" s="5" t="str">
        <f>'AC - Example'!D53</f>
        <v>DV</v>
      </c>
      <c r="D53" s="5" t="str">
        <f>'AC - Example'!E53</f>
        <v>CPR</v>
      </c>
      <c r="E53" s="155"/>
      <c r="F53" s="144">
        <f>'AC - Example'!G53</f>
        <v>-49075733.929999992</v>
      </c>
    </row>
    <row r="54" spans="1:6" x14ac:dyDescent="0.2">
      <c r="A54" s="127">
        <f>'AC - Example'!A54</f>
        <v>21</v>
      </c>
      <c r="B54" s="5" t="str">
        <f>'AC - Example'!C54</f>
        <v>LEASE</v>
      </c>
      <c r="C54" s="5" t="str">
        <f>'AC - Example'!D54</f>
        <v>DV</v>
      </c>
      <c r="D54" s="5" t="str">
        <f>'AC - Example'!E54</f>
        <v>PEB</v>
      </c>
      <c r="E54" s="155"/>
      <c r="F54" s="144">
        <f>'AC - Example'!G54</f>
        <v>-46089966.629999995</v>
      </c>
    </row>
    <row r="55" spans="1:6" x14ac:dyDescent="0.2">
      <c r="A55" s="127">
        <f>'AC - Example'!A55</f>
        <v>22</v>
      </c>
      <c r="B55" s="5" t="str">
        <f>'AC - Example'!C55</f>
        <v>LEASE</v>
      </c>
      <c r="C55" s="5" t="str">
        <f>'AC - Example'!D55</f>
        <v>DV</v>
      </c>
      <c r="D55" s="5" t="str">
        <f>'AC - Example'!E55</f>
        <v>PRIN</v>
      </c>
      <c r="E55" s="155"/>
      <c r="F55" s="144">
        <f>'AC - Example'!G55</f>
        <v>0</v>
      </c>
    </row>
    <row r="56" spans="1:6" x14ac:dyDescent="0.2">
      <c r="A56" s="127">
        <f>'AC - Example'!A56</f>
        <v>23</v>
      </c>
      <c r="B56" s="5" t="str">
        <f>'AC - Example'!C56</f>
        <v>LEASE</v>
      </c>
      <c r="C56" s="5" t="str">
        <f>'AC - Example'!D56</f>
        <v>DV</v>
      </c>
      <c r="D56" s="5" t="str">
        <f>'AC - Example'!E56</f>
        <v>IR</v>
      </c>
      <c r="E56" s="156">
        <f>'AC - Example'!F56</f>
        <v>6.4516E-3</v>
      </c>
      <c r="F56" s="144"/>
    </row>
    <row r="57" spans="1:6" x14ac:dyDescent="0.2">
      <c r="A57" s="127">
        <f>'AC - Example'!A57</f>
        <v>24</v>
      </c>
      <c r="B57" s="5" t="str">
        <f>'AC - Example'!C57</f>
        <v>LEASE</v>
      </c>
      <c r="C57" s="5" t="str">
        <f>'AC - Example'!D57</f>
        <v>DV</v>
      </c>
      <c r="D57" s="5" t="str">
        <f>'AC - Example'!E57</f>
        <v>AINT</v>
      </c>
      <c r="E57" s="155"/>
      <c r="F57" s="144">
        <f>'AC - Example'!G57</f>
        <v>0</v>
      </c>
    </row>
    <row r="58" spans="1:6" x14ac:dyDescent="0.2">
      <c r="A58" s="127">
        <f>'AC - Example'!A58</f>
        <v>25</v>
      </c>
      <c r="B58" s="5" t="str">
        <f>'AC - Example'!C58</f>
        <v>LEASE</v>
      </c>
      <c r="C58" s="5" t="str">
        <f>'AC - Example'!D58</f>
        <v>DV</v>
      </c>
      <c r="D58" s="5" t="str">
        <f>'AC - Example'!E58</f>
        <v>DEV</v>
      </c>
      <c r="E58" s="155"/>
      <c r="F58" s="144">
        <f>'AC - Example'!G58</f>
        <v>-46089966.629999995</v>
      </c>
    </row>
    <row r="59" spans="1:6" x14ac:dyDescent="0.2">
      <c r="A59" s="127">
        <f>'AC - Example'!A59</f>
        <v>26</v>
      </c>
      <c r="B59" s="5" t="str">
        <f>'AC - Example'!C59</f>
        <v>LEASE</v>
      </c>
      <c r="C59" s="5" t="str">
        <f>'AC - Example'!D59</f>
        <v>DV</v>
      </c>
      <c r="D59" s="5" t="str">
        <f>'AC - Example'!E59</f>
        <v>ENDB</v>
      </c>
      <c r="E59" s="155"/>
      <c r="F59" s="144">
        <f>'AC - Example'!G59</f>
        <v>-46089966.629999995</v>
      </c>
    </row>
    <row r="60" spans="1:6" x14ac:dyDescent="0.2">
      <c r="A60" s="127">
        <f>'AC - Example'!A60</f>
        <v>27</v>
      </c>
      <c r="B60" s="5" t="str">
        <f>'AC - Example'!C60</f>
        <v>LEASE</v>
      </c>
      <c r="C60" s="5" t="str">
        <f>'AC - Example'!D60</f>
        <v>NP</v>
      </c>
      <c r="D60" s="5" t="str">
        <f>'AC - Example'!E60</f>
        <v>DEV</v>
      </c>
      <c r="E60" s="155"/>
      <c r="F60" s="144">
        <f>'AC - Example'!G60</f>
        <v>46089966.629999995</v>
      </c>
    </row>
    <row r="61" spans="1:6" x14ac:dyDescent="0.2">
      <c r="A61" s="127">
        <f>'AC - Example'!A61</f>
        <v>28</v>
      </c>
      <c r="B61" s="5" t="str">
        <f>'AC - Example'!C61</f>
        <v>LEASE</v>
      </c>
      <c r="C61" s="5" t="str">
        <f>'AC - Example'!D61</f>
        <v>NP</v>
      </c>
      <c r="D61" s="5" t="str">
        <f>'AC - Example'!E61</f>
        <v>NPR</v>
      </c>
      <c r="E61" s="156">
        <f>'AC - Example'!F61</f>
        <v>0.4</v>
      </c>
      <c r="F61" s="144"/>
    </row>
    <row r="62" spans="1:6" x14ac:dyDescent="0.2">
      <c r="A62" s="127">
        <f>'AC - Example'!A62</f>
        <v>29</v>
      </c>
      <c r="B62" s="5" t="str">
        <f>'AC - Example'!C62</f>
        <v>LEASE</v>
      </c>
      <c r="C62" s="5" t="str">
        <f>'AC - Example'!D62</f>
        <v>NP</v>
      </c>
      <c r="D62" s="5" t="str">
        <f>'AC - Example'!E62</f>
        <v>TAD</v>
      </c>
      <c r="E62" s="155"/>
      <c r="F62" s="144">
        <f>'AC - Example'!G62</f>
        <v>18435986.649999999</v>
      </c>
    </row>
    <row r="63" spans="1:6" x14ac:dyDescent="0.2">
      <c r="A63" s="127">
        <f>'AC - Example'!A63</f>
        <v>30</v>
      </c>
      <c r="B63" s="5" t="str">
        <f>'AC - Example'!C63</f>
        <v>LEASE</v>
      </c>
      <c r="C63" s="5" t="str">
        <f>'AC - Example'!D63</f>
        <v>PR</v>
      </c>
      <c r="D63" s="5" t="str">
        <f>'AC - Example'!E63</f>
        <v>BEGB</v>
      </c>
      <c r="E63" s="155"/>
      <c r="F63" s="144">
        <f>'AC - Example'!G63</f>
        <v>0</v>
      </c>
    </row>
    <row r="64" spans="1:6" x14ac:dyDescent="0.2">
      <c r="A64" s="127">
        <f>'AC - Example'!A64</f>
        <v>31</v>
      </c>
      <c r="B64" s="5" t="str">
        <f>'AC - Example'!C64</f>
        <v>ABC</v>
      </c>
      <c r="C64" s="5" t="str">
        <f>'AC - Example'!D64</f>
        <v>PR</v>
      </c>
      <c r="D64" s="5" t="str">
        <f>'AC - Example'!E64</f>
        <v>TCR</v>
      </c>
      <c r="E64" s="155"/>
      <c r="F64" s="144">
        <f>'AC - Example'!G64</f>
        <v>-78170230.069999993</v>
      </c>
    </row>
    <row r="65" spans="1:6" x14ac:dyDescent="0.2">
      <c r="A65" s="127">
        <f>'AC - Example'!A65</f>
        <v>32</v>
      </c>
      <c r="B65" s="5" t="str">
        <f>'AC - Example'!C65</f>
        <v>ABC</v>
      </c>
      <c r="C65" s="5" t="str">
        <f>'AC - Example'!D65</f>
        <v>PR</v>
      </c>
      <c r="D65" s="5" t="str">
        <f>'AC - Example'!E65</f>
        <v>PO</v>
      </c>
      <c r="E65" s="155"/>
      <c r="F65" s="144">
        <f>'AC - Example'!G65</f>
        <v>3000.66</v>
      </c>
    </row>
    <row r="66" spans="1:6" x14ac:dyDescent="0.2">
      <c r="A66" s="127">
        <f>'AC - Example'!A66</f>
        <v>33</v>
      </c>
      <c r="B66" s="5" t="str">
        <f>'AC - Example'!C66</f>
        <v>ABC</v>
      </c>
      <c r="C66" s="5" t="str">
        <f>'AC - Example'!D66</f>
        <v>PR</v>
      </c>
      <c r="D66" s="5" t="str">
        <f>'AC - Example'!E66</f>
        <v>DL</v>
      </c>
      <c r="E66" s="155"/>
      <c r="F66" s="144">
        <f>'AC - Example'!G66</f>
        <v>0</v>
      </c>
    </row>
    <row r="67" spans="1:6" x14ac:dyDescent="0.2">
      <c r="A67" s="127">
        <f>'AC - Example'!A67</f>
        <v>34</v>
      </c>
      <c r="B67" s="5" t="str">
        <f>'AC - Example'!C67</f>
        <v>ABC</v>
      </c>
      <c r="C67" s="5" t="str">
        <f>'AC - Example'!D67</f>
        <v>PR</v>
      </c>
      <c r="D67" s="5" t="str">
        <f>'AC - Example'!E67</f>
        <v>OTH</v>
      </c>
      <c r="E67" s="155"/>
      <c r="F67" s="144">
        <f>'AC - Example'!G67</f>
        <v>1500.56</v>
      </c>
    </row>
    <row r="68" spans="1:6" x14ac:dyDescent="0.2">
      <c r="A68" s="127">
        <f>'AC - Example'!A68</f>
        <v>35</v>
      </c>
      <c r="B68" s="5" t="str">
        <f>'AC - Example'!C68</f>
        <v>LEASE</v>
      </c>
      <c r="C68" s="5" t="str">
        <f>'AC - Example'!D68</f>
        <v>PR</v>
      </c>
      <c r="D68" s="5" t="str">
        <f>'AC - Example'!E68</f>
        <v>LR</v>
      </c>
      <c r="E68" s="155"/>
      <c r="F68" s="144">
        <f>'AC - Example'!G68</f>
        <v>0</v>
      </c>
    </row>
    <row r="69" spans="1:6" x14ac:dyDescent="0.2">
      <c r="A69" s="127">
        <f>'AC - Example'!A69</f>
        <v>36</v>
      </c>
      <c r="B69" s="5" t="str">
        <f>'AC - Example'!C69</f>
        <v>LEASE</v>
      </c>
      <c r="C69" s="5" t="str">
        <f>'AC - Example'!D69</f>
        <v>PR</v>
      </c>
      <c r="D69" s="5" t="str">
        <f>'AC - Example'!E69</f>
        <v>AAOH</v>
      </c>
      <c r="E69" s="155"/>
      <c r="F69" s="144">
        <f>'AC - Example'!G69</f>
        <v>0</v>
      </c>
    </row>
    <row r="70" spans="1:6" x14ac:dyDescent="0.2">
      <c r="A70" s="127">
        <f>'AC - Example'!A70</f>
        <v>37</v>
      </c>
      <c r="B70" s="5" t="str">
        <f>'AC - Example'!C70</f>
        <v>LEASE</v>
      </c>
      <c r="C70" s="5" t="str">
        <f>'AC - Example'!D70</f>
        <v>PR</v>
      </c>
      <c r="D70" s="5" t="str">
        <f>'AC - Example'!E70</f>
        <v>TOI</v>
      </c>
      <c r="E70" s="155"/>
      <c r="F70" s="144">
        <f>'AC - Example'!G70</f>
        <v>4501.2199999999993</v>
      </c>
    </row>
    <row r="71" spans="1:6" x14ac:dyDescent="0.2">
      <c r="A71" s="127">
        <f>'AC - Example'!A71</f>
        <v>38</v>
      </c>
      <c r="B71" s="5" t="str">
        <f>'AC - Example'!C71</f>
        <v>LEASE</v>
      </c>
      <c r="C71" s="5" t="str">
        <f>'AC - Example'!D71</f>
        <v>PR</v>
      </c>
      <c r="D71" s="5" t="str">
        <f>'AC - Example'!E71</f>
        <v>OVHR</v>
      </c>
      <c r="E71" s="156">
        <f>'AC - Example'!F71</f>
        <v>0.09</v>
      </c>
      <c r="F71" s="144"/>
    </row>
    <row r="72" spans="1:6" x14ac:dyDescent="0.2">
      <c r="A72" s="127">
        <f>'AC - Example'!A72</f>
        <v>39</v>
      </c>
      <c r="B72" s="5" t="str">
        <f>'AC - Example'!C72</f>
        <v>LEASE</v>
      </c>
      <c r="C72" s="5" t="str">
        <f>'AC - Example'!D72</f>
        <v>PR</v>
      </c>
      <c r="D72" s="5" t="str">
        <f>'AC - Example'!E72</f>
        <v>GOAE</v>
      </c>
      <c r="E72" s="155"/>
      <c r="F72" s="144">
        <f>'AC - Example'!G72</f>
        <v>405.11</v>
      </c>
    </row>
    <row r="73" spans="1:6" x14ac:dyDescent="0.2">
      <c r="A73" s="127">
        <f>'AC - Example'!A73</f>
        <v>40</v>
      </c>
      <c r="B73" s="5" t="str">
        <f>'AC - Example'!C73</f>
        <v>ABC</v>
      </c>
      <c r="C73" s="5" t="str">
        <f>'AC - Example'!D73</f>
        <v>PR</v>
      </c>
      <c r="D73" s="5" t="str">
        <f>'AC - Example'!E73</f>
        <v>TAC</v>
      </c>
      <c r="E73" s="155"/>
      <c r="F73" s="144">
        <f>'AC - Example'!G73</f>
        <v>158782.41</v>
      </c>
    </row>
    <row r="74" spans="1:6" x14ac:dyDescent="0.2">
      <c r="A74" s="127">
        <f>'AC - Example'!A74</f>
        <v>41</v>
      </c>
      <c r="B74" s="5" t="str">
        <f>'AC - Example'!C74</f>
        <v>LEASE</v>
      </c>
      <c r="C74" s="5" t="str">
        <f>'AC - Example'!D74</f>
        <v>PR</v>
      </c>
      <c r="D74" s="5" t="str">
        <f>'AC - Example'!E74</f>
        <v>PTLA</v>
      </c>
      <c r="E74" s="155"/>
      <c r="F74" s="144">
        <f>'AC - Example'!G74</f>
        <v>19153027.140000001</v>
      </c>
    </row>
    <row r="75" spans="1:6" x14ac:dyDescent="0.2">
      <c r="A75" s="127">
        <f>'AC - Example'!A75</f>
        <v>42</v>
      </c>
      <c r="B75" s="5" t="str">
        <f>'AC - Example'!C75</f>
        <v>LEASE</v>
      </c>
      <c r="C75" s="5" t="str">
        <f>'AC - Example'!D75</f>
        <v>PR</v>
      </c>
      <c r="D75" s="5" t="str">
        <f>'AC - Example'!E75</f>
        <v>PTLRC</v>
      </c>
      <c r="E75" s="155"/>
      <c r="F75" s="144">
        <f>'AC - Example'!G75</f>
        <v>0</v>
      </c>
    </row>
    <row r="76" spans="1:6" x14ac:dyDescent="0.2">
      <c r="A76" s="127">
        <f>'AC - Example'!A76</f>
        <v>43</v>
      </c>
      <c r="B76" s="5" t="str">
        <f>'AC - Example'!C76</f>
        <v>ABC</v>
      </c>
      <c r="C76" s="5" t="str">
        <f>'AC - Example'!D76</f>
        <v>PR</v>
      </c>
      <c r="D76" s="5" t="str">
        <f>'AC - Example'!E76</f>
        <v>AVT</v>
      </c>
      <c r="E76" s="155"/>
      <c r="F76" s="144">
        <f>'AC - Example'!G76</f>
        <v>1500.88</v>
      </c>
    </row>
    <row r="77" spans="1:6" x14ac:dyDescent="0.2">
      <c r="A77" s="127">
        <f>'AC - Example'!A77</f>
        <v>44</v>
      </c>
      <c r="B77" s="5" t="str">
        <f>'AC - Example'!C77</f>
        <v>ABC</v>
      </c>
      <c r="C77" s="5" t="str">
        <f>'AC - Example'!D77</f>
        <v>PR</v>
      </c>
      <c r="D77" s="5" t="str">
        <f>'AC - Example'!E77</f>
        <v>NOP</v>
      </c>
      <c r="E77" s="155"/>
      <c r="F77" s="144">
        <f>'AC - Example'!G77</f>
        <v>5000.12</v>
      </c>
    </row>
    <row r="78" spans="1:6" x14ac:dyDescent="0.2">
      <c r="A78" s="127">
        <f>'AC - Example'!A78</f>
        <v>45</v>
      </c>
      <c r="B78" s="5" t="str">
        <f>'AC - Example'!C78</f>
        <v>LEASE</v>
      </c>
      <c r="C78" s="5" t="str">
        <f>'AC - Example'!D78</f>
        <v>PR</v>
      </c>
      <c r="D78" s="5" t="str">
        <f>'AC - Example'!E78</f>
        <v>AANOH</v>
      </c>
      <c r="E78" s="155"/>
      <c r="F78" s="144">
        <f>'AC - Example'!G78</f>
        <v>0</v>
      </c>
    </row>
    <row r="79" spans="1:6" x14ac:dyDescent="0.2">
      <c r="A79" s="127">
        <f>'AC - Example'!A79</f>
        <v>46</v>
      </c>
      <c r="B79" s="5" t="str">
        <f>'AC - Example'!C79</f>
        <v>LEASE</v>
      </c>
      <c r="C79" s="5" t="str">
        <f>'AC - Example'!D79</f>
        <v>PR</v>
      </c>
      <c r="D79" s="5" t="str">
        <f>'AC - Example'!E79</f>
        <v>TDC</v>
      </c>
      <c r="E79" s="155"/>
      <c r="F79" s="144">
        <f>'AC - Example'!G79</f>
        <v>19318715.66</v>
      </c>
    </row>
    <row r="80" spans="1:6" x14ac:dyDescent="0.2">
      <c r="A80" s="127">
        <f>'AC - Example'!A80</f>
        <v>47</v>
      </c>
      <c r="B80" s="5" t="str">
        <f>'AC - Example'!C80</f>
        <v>ABC</v>
      </c>
      <c r="C80" s="5" t="str">
        <f>'AC - Example'!D80</f>
        <v>PR</v>
      </c>
      <c r="D80" s="5" t="str">
        <f>'AC - Example'!E80</f>
        <v>TRYE</v>
      </c>
      <c r="E80" s="155"/>
      <c r="F80" s="144">
        <f>'AC - Example'!G80</f>
        <v>9771279.2599999998</v>
      </c>
    </row>
    <row r="81" spans="1:6" x14ac:dyDescent="0.2">
      <c r="A81" s="127">
        <f>'AC - Example'!A81</f>
        <v>48</v>
      </c>
      <c r="B81" s="5" t="str">
        <f>'AC - Example'!C81</f>
        <v>LEASE</v>
      </c>
      <c r="C81" s="5" t="str">
        <f>'AC - Example'!D81</f>
        <v>PR</v>
      </c>
      <c r="D81" s="5" t="str">
        <f>'AC - Example'!E81</f>
        <v>TDB</v>
      </c>
      <c r="E81" s="155"/>
      <c r="F81" s="144">
        <f>'AC - Example'!G81</f>
        <v>29094496.140000001</v>
      </c>
    </row>
    <row r="82" spans="1:6" x14ac:dyDescent="0.2">
      <c r="A82" s="127">
        <f>'AC - Example'!A82</f>
        <v>49</v>
      </c>
      <c r="B82" s="5" t="str">
        <f>'AC - Example'!C82</f>
        <v>LEASE</v>
      </c>
      <c r="C82" s="5" t="str">
        <f>'AC - Example'!D82</f>
        <v>PR</v>
      </c>
      <c r="D82" s="5" t="str">
        <f>'AC - Example'!E82</f>
        <v>PREV</v>
      </c>
      <c r="E82" s="155"/>
      <c r="F82" s="144">
        <f>'AC - Example'!G82</f>
        <v>-49075733.929999992</v>
      </c>
    </row>
    <row r="83" spans="1:6" x14ac:dyDescent="0.2">
      <c r="A83" s="127">
        <f>'AC - Example'!A83</f>
        <v>50</v>
      </c>
      <c r="B83" s="5" t="str">
        <f>'AC - Example'!C83</f>
        <v>LEASE</v>
      </c>
      <c r="C83" s="5" t="str">
        <f>'AC - Example'!D83</f>
        <v>PR</v>
      </c>
      <c r="D83" s="5" t="str">
        <f>'AC - Example'!E83</f>
        <v>ENDB</v>
      </c>
      <c r="E83" s="155"/>
      <c r="F83" s="144">
        <f>'AC - Example'!G83</f>
        <v>0</v>
      </c>
    </row>
  </sheetData>
  <sheetProtection selectLockedCells="1"/>
  <phoneticPr fontId="2" type="noConversion"/>
  <conditionalFormatting sqref="A34:A83">
    <cfRule type="cellIs" dxfId="1" priority="1" stopIfTrue="1" operator="equal">
      <formula>"A32"</formula>
    </cfRule>
  </conditionalFormatting>
  <printOptions gridLines="1"/>
  <pageMargins left="0.75" right="0.75" top="1" bottom="1" header="0.5" footer="0.5"/>
  <pageSetup scale="66" orientation="portrait" r:id="rId1"/>
  <headerFooter alignWithMargins="0">
    <oddHeader>&amp;C&amp;G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M92"/>
  <sheetViews>
    <sheetView zoomScaleNormal="100" workbookViewId="0">
      <selection activeCell="F34" sqref="F34"/>
    </sheetView>
  </sheetViews>
  <sheetFormatPr defaultRowHeight="11.25" x14ac:dyDescent="0.2"/>
  <cols>
    <col min="1" max="1" width="7" style="82" customWidth="1"/>
    <col min="2" max="2" width="1" style="82" customWidth="1"/>
    <col min="3" max="3" width="11.85546875" style="82" customWidth="1"/>
    <col min="4" max="4" width="9.7109375" style="82" customWidth="1"/>
    <col min="5" max="5" width="11.85546875" style="82" customWidth="1"/>
    <col min="6" max="6" width="9.140625" style="82"/>
    <col min="7" max="7" width="18.28515625" style="83" customWidth="1"/>
    <col min="8" max="8" width="40.5703125" style="327" customWidth="1"/>
    <col min="9" max="9" width="25.42578125" style="327" customWidth="1"/>
    <col min="10" max="16384" width="9.140625" style="327"/>
  </cols>
  <sheetData>
    <row r="1" spans="1:13" ht="30.75" customHeight="1" x14ac:dyDescent="0.2">
      <c r="A1" s="15" t="str">
        <f>' VV - Example'!A1</f>
        <v>ALASKA DNR - OIL &amp; GAS  V 1.201212</v>
      </c>
      <c r="B1" s="59"/>
      <c r="C1" s="326"/>
      <c r="D1" s="59"/>
      <c r="E1" s="59"/>
      <c r="F1" s="59"/>
      <c r="G1" s="60"/>
    </row>
    <row r="2" spans="1:13" x14ac:dyDescent="0.2">
      <c r="A2" s="23" t="s">
        <v>39</v>
      </c>
      <c r="B2" s="33"/>
      <c r="C2" s="35"/>
      <c r="D2" s="35" t="s">
        <v>323</v>
      </c>
      <c r="E2" s="35"/>
      <c r="F2" s="35"/>
      <c r="G2" s="62" t="s">
        <v>34</v>
      </c>
      <c r="H2" s="61"/>
    </row>
    <row r="3" spans="1:13" x14ac:dyDescent="0.2">
      <c r="A3" s="33" t="s">
        <v>33</v>
      </c>
      <c r="B3" s="33"/>
      <c r="C3" s="35"/>
      <c r="D3" s="35" t="s">
        <v>322</v>
      </c>
      <c r="E3" s="35"/>
      <c r="F3" s="35"/>
      <c r="G3" s="62" t="s">
        <v>36</v>
      </c>
      <c r="H3" s="61"/>
    </row>
    <row r="4" spans="1:13" x14ac:dyDescent="0.2">
      <c r="A4" s="36" t="s">
        <v>40</v>
      </c>
      <c r="B4" s="36"/>
      <c r="C4" s="39"/>
      <c r="D4" s="35"/>
      <c r="E4" s="39"/>
      <c r="F4" s="39"/>
      <c r="G4" s="38" t="str">
        <f>' VV - Example'!G4</f>
        <v>REG</v>
      </c>
      <c r="H4" s="62"/>
    </row>
    <row r="5" spans="1:13" s="329" customFormat="1" x14ac:dyDescent="0.2">
      <c r="A5" s="33" t="s">
        <v>14</v>
      </c>
      <c r="B5" s="33"/>
      <c r="C5" s="35"/>
      <c r="D5" s="35"/>
      <c r="E5" s="35"/>
      <c r="F5" s="35"/>
      <c r="G5" s="38" t="str">
        <f>' VV - Example'!G5</f>
        <v>000012345</v>
      </c>
      <c r="H5" s="62"/>
      <c r="I5" s="328"/>
      <c r="J5" s="328"/>
      <c r="K5" s="328"/>
      <c r="L5" s="328"/>
      <c r="M5" s="328"/>
    </row>
    <row r="6" spans="1:13" s="330" customFormat="1" x14ac:dyDescent="0.2">
      <c r="A6" s="35"/>
      <c r="B6" s="35"/>
      <c r="C6" s="35"/>
      <c r="D6" s="35"/>
      <c r="E6" s="35"/>
      <c r="F6" s="35"/>
      <c r="G6" s="35"/>
      <c r="H6" s="61"/>
      <c r="I6" s="327"/>
      <c r="J6" s="327"/>
      <c r="K6" s="327"/>
      <c r="L6" s="327"/>
      <c r="M6" s="327"/>
    </row>
    <row r="7" spans="1:13" x14ac:dyDescent="0.2">
      <c r="A7" s="33" t="s">
        <v>15</v>
      </c>
      <c r="B7" s="33"/>
      <c r="C7" s="35"/>
      <c r="D7" s="35"/>
      <c r="E7" s="35"/>
      <c r="F7" s="35"/>
      <c r="G7" s="124">
        <f>' VV - Example'!G7</f>
        <v>41183</v>
      </c>
      <c r="H7" s="61"/>
    </row>
    <row r="8" spans="1:13" x14ac:dyDescent="0.2">
      <c r="A8" s="33" t="s">
        <v>17</v>
      </c>
      <c r="B8" s="33"/>
      <c r="C8" s="35"/>
      <c r="D8" s="35"/>
      <c r="E8" s="35"/>
      <c r="F8" s="35"/>
      <c r="G8" s="38" t="str">
        <f>' VV - Example'!G8</f>
        <v>00</v>
      </c>
      <c r="H8" s="61"/>
    </row>
    <row r="9" spans="1:13" x14ac:dyDescent="0.2">
      <c r="A9" s="33" t="s">
        <v>5</v>
      </c>
      <c r="B9" s="33"/>
      <c r="C9" s="35"/>
      <c r="D9" s="35"/>
      <c r="E9" s="35"/>
      <c r="F9" s="35"/>
      <c r="G9" s="124">
        <f>' VV - Example'!G9</f>
        <v>41244</v>
      </c>
      <c r="H9" s="61"/>
    </row>
    <row r="10" spans="1:13" x14ac:dyDescent="0.2">
      <c r="A10" s="33" t="s">
        <v>16</v>
      </c>
      <c r="B10" s="33"/>
      <c r="C10" s="35"/>
      <c r="D10" s="35"/>
      <c r="E10" s="35"/>
      <c r="F10" s="35"/>
      <c r="G10" s="38" t="str">
        <f>' VV - Example'!G10</f>
        <v>000012345N12201200</v>
      </c>
      <c r="H10" s="61"/>
    </row>
    <row r="11" spans="1:13" x14ac:dyDescent="0.2">
      <c r="A11" s="33" t="s">
        <v>13</v>
      </c>
      <c r="B11" s="33"/>
      <c r="C11" s="35"/>
      <c r="D11" s="35"/>
      <c r="E11" s="35"/>
      <c r="F11" s="35"/>
      <c r="G11" s="124">
        <f>' VV - Example'!G11</f>
        <v>41265</v>
      </c>
      <c r="H11" s="61"/>
    </row>
    <row r="12" spans="1:13" x14ac:dyDescent="0.2">
      <c r="A12" s="33" t="s">
        <v>7</v>
      </c>
      <c r="B12" s="33"/>
      <c r="C12" s="35"/>
      <c r="D12" s="35"/>
      <c r="E12" s="35"/>
      <c r="F12" s="35"/>
      <c r="G12" s="38" t="str">
        <f>' VV - Example'!G12</f>
        <v>ADL #</v>
      </c>
      <c r="H12" s="61"/>
    </row>
    <row r="13" spans="1:13" x14ac:dyDescent="0.2">
      <c r="A13" s="33"/>
      <c r="B13" s="33"/>
      <c r="C13" s="35"/>
      <c r="D13" s="35"/>
      <c r="E13" s="35"/>
      <c r="F13" s="35"/>
      <c r="G13" s="35"/>
      <c r="H13" s="61"/>
    </row>
    <row r="14" spans="1:13" s="330" customFormat="1" ht="12" customHeight="1" x14ac:dyDescent="0.2">
      <c r="A14" s="33"/>
      <c r="B14" s="33"/>
      <c r="C14" s="35"/>
      <c r="D14" s="35"/>
      <c r="E14" s="35"/>
      <c r="F14" s="35"/>
      <c r="G14" s="35"/>
      <c r="H14" s="61"/>
      <c r="I14" s="327"/>
      <c r="J14" s="327"/>
      <c r="K14" s="327"/>
      <c r="L14" s="327"/>
      <c r="M14" s="327"/>
    </row>
    <row r="15" spans="1:13" x14ac:dyDescent="0.2">
      <c r="A15" s="33"/>
      <c r="B15" s="33"/>
      <c r="C15" s="35"/>
      <c r="D15" s="35"/>
      <c r="E15" s="35"/>
      <c r="F15" s="35"/>
      <c r="G15" s="35"/>
      <c r="H15" s="61"/>
    </row>
    <row r="16" spans="1:13" x14ac:dyDescent="0.2">
      <c r="A16" s="33"/>
      <c r="B16" s="33"/>
      <c r="C16" s="35"/>
      <c r="D16" s="35"/>
      <c r="E16" s="35"/>
      <c r="F16" s="35"/>
      <c r="G16" s="35"/>
      <c r="H16" s="61"/>
    </row>
    <row r="17" spans="1:8" x14ac:dyDescent="0.2">
      <c r="A17" s="33"/>
      <c r="B17" s="33"/>
      <c r="C17" s="35"/>
      <c r="D17" s="35"/>
      <c r="E17" s="35"/>
      <c r="F17" s="35"/>
      <c r="G17" s="35"/>
      <c r="H17" s="61"/>
    </row>
    <row r="18" spans="1:8" x14ac:dyDescent="0.2">
      <c r="A18" s="43"/>
      <c r="B18" s="43"/>
      <c r="C18" s="43"/>
      <c r="D18" s="43"/>
      <c r="E18" s="43"/>
      <c r="F18" s="43"/>
      <c r="G18" s="43"/>
      <c r="H18" s="61"/>
    </row>
    <row r="19" spans="1:8" x14ac:dyDescent="0.2">
      <c r="A19" s="33" t="s">
        <v>22</v>
      </c>
      <c r="B19" s="33"/>
      <c r="C19" s="35"/>
      <c r="D19" s="35"/>
      <c r="E19" s="35"/>
      <c r="F19" s="35"/>
      <c r="G19" s="38" t="str">
        <f>' VV - Example'!G19</f>
        <v>XYZ Company</v>
      </c>
      <c r="H19" s="61"/>
    </row>
    <row r="20" spans="1:8" x14ac:dyDescent="0.2">
      <c r="A20" s="33"/>
      <c r="B20" s="33"/>
      <c r="C20" s="35"/>
      <c r="D20" s="35"/>
      <c r="E20" s="35"/>
      <c r="F20" s="35"/>
      <c r="G20" s="34"/>
      <c r="H20" s="61"/>
    </row>
    <row r="21" spans="1:8" x14ac:dyDescent="0.2">
      <c r="A21" s="33" t="s">
        <v>0</v>
      </c>
      <c r="B21" s="33"/>
      <c r="C21" s="35"/>
      <c r="D21" s="35"/>
      <c r="E21" s="35"/>
      <c r="F21" s="35"/>
      <c r="G21" s="38" t="str">
        <f>' VV - Example'!G21</f>
        <v>Enter Data</v>
      </c>
      <c r="H21" s="61"/>
    </row>
    <row r="22" spans="1:8" x14ac:dyDescent="0.2">
      <c r="A22" s="33" t="s">
        <v>1</v>
      </c>
      <c r="B22" s="33"/>
      <c r="C22" s="35"/>
      <c r="D22" s="35"/>
      <c r="E22" s="35"/>
      <c r="F22" s="35"/>
      <c r="G22" s="38" t="str">
        <f>' VV - Example'!G22</f>
        <v>Enter Data</v>
      </c>
      <c r="H22" s="61"/>
    </row>
    <row r="23" spans="1:8" x14ac:dyDescent="0.2">
      <c r="A23" s="33" t="s">
        <v>2</v>
      </c>
      <c r="B23" s="33"/>
      <c r="C23" s="35"/>
      <c r="D23" s="35"/>
      <c r="E23" s="35"/>
      <c r="F23" s="35"/>
      <c r="G23" s="38" t="str">
        <f>' VV - Example'!G23</f>
        <v>Enter Data</v>
      </c>
      <c r="H23" s="61"/>
    </row>
    <row r="24" spans="1:8" x14ac:dyDescent="0.2">
      <c r="A24" s="33" t="s">
        <v>3</v>
      </c>
      <c r="B24" s="33"/>
      <c r="C24" s="35"/>
      <c r="D24" s="35"/>
      <c r="E24" s="35"/>
      <c r="F24" s="35"/>
      <c r="G24" s="38" t="str">
        <f>' VV - Example'!G24</f>
        <v>Enter Data</v>
      </c>
      <c r="H24" s="61"/>
    </row>
    <row r="25" spans="1:8" x14ac:dyDescent="0.2">
      <c r="A25" s="33" t="s">
        <v>4</v>
      </c>
      <c r="B25" s="33"/>
      <c r="C25" s="35"/>
      <c r="D25" s="35"/>
      <c r="E25" s="35"/>
      <c r="F25" s="35"/>
      <c r="G25" s="38" t="str">
        <f>' VV - Example'!G25</f>
        <v>Enter Data</v>
      </c>
      <c r="H25" s="61"/>
    </row>
    <row r="26" spans="1:8" x14ac:dyDescent="0.2">
      <c r="A26" s="33" t="s">
        <v>6</v>
      </c>
      <c r="B26" s="33"/>
      <c r="C26" s="35"/>
      <c r="D26" s="35"/>
      <c r="E26" s="35"/>
      <c r="F26" s="35"/>
      <c r="G26" s="38" t="str">
        <f>' VV - Example'!G26</f>
        <v>Enter Data</v>
      </c>
      <c r="H26" s="61"/>
    </row>
    <row r="27" spans="1:8" x14ac:dyDescent="0.2">
      <c r="A27" s="33" t="s">
        <v>8</v>
      </c>
      <c r="B27" s="33"/>
      <c r="C27" s="35"/>
      <c r="D27" s="35"/>
      <c r="E27" s="35"/>
      <c r="F27" s="35"/>
      <c r="G27" s="38" t="str">
        <f>' VV - Example'!G27</f>
        <v>Enter Data</v>
      </c>
      <c r="H27" s="61"/>
    </row>
    <row r="28" spans="1:8" x14ac:dyDescent="0.2">
      <c r="A28" s="33" t="s">
        <v>9</v>
      </c>
      <c r="B28" s="33"/>
      <c r="C28" s="35"/>
      <c r="D28" s="35"/>
      <c r="E28" s="35"/>
      <c r="F28" s="35"/>
      <c r="G28" s="38" t="str">
        <f>' VV - Example'!G28</f>
        <v>Enter Data</v>
      </c>
      <c r="H28" s="61"/>
    </row>
    <row r="29" spans="1:8" x14ac:dyDescent="0.2">
      <c r="A29" s="33" t="s">
        <v>12</v>
      </c>
      <c r="B29" s="33"/>
      <c r="C29" s="35"/>
      <c r="D29" s="35"/>
      <c r="E29" s="35"/>
      <c r="F29" s="35"/>
      <c r="G29" s="38" t="str">
        <f>' VV - Example'!G29</f>
        <v>Enter Data</v>
      </c>
      <c r="H29" s="61"/>
    </row>
    <row r="30" spans="1:8" x14ac:dyDescent="0.2">
      <c r="A30" s="33" t="s">
        <v>18</v>
      </c>
      <c r="B30" s="33"/>
      <c r="C30" s="35"/>
      <c r="D30" s="35"/>
      <c r="E30" s="35"/>
      <c r="F30" s="35"/>
      <c r="G30" s="38" t="str">
        <f>' VV - Example'!G30</f>
        <v>Enter Data</v>
      </c>
      <c r="H30" s="61"/>
    </row>
    <row r="31" spans="1:8" x14ac:dyDescent="0.2">
      <c r="A31" s="33" t="s">
        <v>10</v>
      </c>
      <c r="B31" s="33"/>
      <c r="C31" s="35"/>
      <c r="D31" s="35"/>
      <c r="E31" s="35"/>
      <c r="F31" s="35"/>
      <c r="G31" s="38" t="str">
        <f>' VV - Example'!G31</f>
        <v>Enter Data</v>
      </c>
      <c r="H31" s="61"/>
    </row>
    <row r="32" spans="1:8" x14ac:dyDescent="0.2">
      <c r="A32" s="33" t="s">
        <v>11</v>
      </c>
      <c r="B32" s="33"/>
      <c r="C32" s="35"/>
      <c r="D32" s="35"/>
      <c r="E32" s="35"/>
      <c r="F32" s="35"/>
      <c r="G32" s="38" t="str">
        <f>' VV - Example'!G32</f>
        <v>Enter Data</v>
      </c>
      <c r="H32" s="61"/>
    </row>
    <row r="33" spans="1:13" s="332" customFormat="1" ht="22.5" x14ac:dyDescent="0.2">
      <c r="A33" s="65" t="s">
        <v>19</v>
      </c>
      <c r="B33" s="65"/>
      <c r="C33" s="65" t="s">
        <v>23</v>
      </c>
      <c r="D33" s="65" t="s">
        <v>24</v>
      </c>
      <c r="E33" s="65" t="s">
        <v>20</v>
      </c>
      <c r="F33" s="65" t="s">
        <v>25</v>
      </c>
      <c r="G33" s="65" t="s">
        <v>21</v>
      </c>
      <c r="H33" s="66" t="s">
        <v>76</v>
      </c>
      <c r="I33" s="333"/>
      <c r="J33" s="331"/>
      <c r="K33" s="331"/>
      <c r="L33" s="331"/>
      <c r="M33" s="331"/>
    </row>
    <row r="34" spans="1:13" x14ac:dyDescent="0.2">
      <c r="A34" s="67">
        <v>1</v>
      </c>
      <c r="B34" s="78"/>
      <c r="C34" s="68" t="s">
        <v>202</v>
      </c>
      <c r="D34" s="69" t="s">
        <v>100</v>
      </c>
      <c r="E34" s="70" t="s">
        <v>141</v>
      </c>
      <c r="F34" s="157"/>
      <c r="G34" s="187">
        <v>0</v>
      </c>
      <c r="H34" s="71" t="s">
        <v>142</v>
      </c>
      <c r="I34" s="334"/>
    </row>
    <row r="35" spans="1:13" x14ac:dyDescent="0.2">
      <c r="A35" s="67">
        <f>A34+1</f>
        <v>2</v>
      </c>
      <c r="B35" s="78"/>
      <c r="C35" s="68" t="s">
        <v>203</v>
      </c>
      <c r="D35" s="69" t="s">
        <v>100</v>
      </c>
      <c r="E35" s="70" t="s">
        <v>204</v>
      </c>
      <c r="F35" s="157"/>
      <c r="G35" s="187">
        <v>0</v>
      </c>
      <c r="H35" s="72" t="s">
        <v>205</v>
      </c>
      <c r="I35" s="334"/>
    </row>
    <row r="36" spans="1:13" x14ac:dyDescent="0.2">
      <c r="A36" s="67">
        <f t="shared" ref="A36:A83" si="0">A35+1</f>
        <v>3</v>
      </c>
      <c r="B36" s="78"/>
      <c r="C36" s="68" t="s">
        <v>203</v>
      </c>
      <c r="D36" s="69" t="s">
        <v>100</v>
      </c>
      <c r="E36" s="70" t="s">
        <v>206</v>
      </c>
      <c r="F36" s="157"/>
      <c r="G36" s="187">
        <v>0</v>
      </c>
      <c r="H36" s="72" t="s">
        <v>207</v>
      </c>
      <c r="I36" s="335"/>
    </row>
    <row r="37" spans="1:13" x14ac:dyDescent="0.2">
      <c r="A37" s="67">
        <f t="shared" si="0"/>
        <v>4</v>
      </c>
      <c r="B37" s="78"/>
      <c r="C37" s="68" t="s">
        <v>203</v>
      </c>
      <c r="D37" s="69" t="s">
        <v>100</v>
      </c>
      <c r="E37" s="73" t="s">
        <v>208</v>
      </c>
      <c r="F37" s="157"/>
      <c r="G37" s="187">
        <v>1500000.12</v>
      </c>
      <c r="H37" s="72" t="s">
        <v>209</v>
      </c>
      <c r="I37" s="335"/>
    </row>
    <row r="38" spans="1:13" x14ac:dyDescent="0.2">
      <c r="A38" s="67">
        <f t="shared" si="0"/>
        <v>5</v>
      </c>
      <c r="B38" s="78"/>
      <c r="C38" s="68" t="s">
        <v>203</v>
      </c>
      <c r="D38" s="69" t="s">
        <v>100</v>
      </c>
      <c r="E38" s="70" t="s">
        <v>210</v>
      </c>
      <c r="F38" s="157"/>
      <c r="G38" s="187">
        <v>1000000.56</v>
      </c>
      <c r="H38" s="72" t="s">
        <v>397</v>
      </c>
      <c r="I38" s="335"/>
    </row>
    <row r="39" spans="1:13" x14ac:dyDescent="0.2">
      <c r="A39" s="67">
        <f t="shared" si="0"/>
        <v>6</v>
      </c>
      <c r="B39" s="78"/>
      <c r="C39" s="68" t="s">
        <v>203</v>
      </c>
      <c r="D39" s="69" t="s">
        <v>100</v>
      </c>
      <c r="E39" s="73" t="s">
        <v>211</v>
      </c>
      <c r="F39" s="157"/>
      <c r="G39" s="187">
        <v>100000.77</v>
      </c>
      <c r="H39" s="72" t="s">
        <v>212</v>
      </c>
      <c r="I39" s="335"/>
    </row>
    <row r="40" spans="1:13" x14ac:dyDescent="0.2">
      <c r="A40" s="67">
        <f t="shared" si="0"/>
        <v>7</v>
      </c>
      <c r="B40" s="78"/>
      <c r="C40" s="68" t="s">
        <v>202</v>
      </c>
      <c r="D40" s="69" t="s">
        <v>100</v>
      </c>
      <c r="E40" s="70" t="s">
        <v>213</v>
      </c>
      <c r="F40" s="157"/>
      <c r="G40" s="187">
        <v>0</v>
      </c>
      <c r="H40" s="72" t="s">
        <v>214</v>
      </c>
      <c r="I40" s="335"/>
    </row>
    <row r="41" spans="1:13" x14ac:dyDescent="0.2">
      <c r="A41" s="67">
        <f t="shared" si="0"/>
        <v>8</v>
      </c>
      <c r="B41" s="78"/>
      <c r="C41" s="68" t="s">
        <v>202</v>
      </c>
      <c r="D41" s="69" t="s">
        <v>100</v>
      </c>
      <c r="E41" s="74" t="s">
        <v>83</v>
      </c>
      <c r="F41" s="157"/>
      <c r="G41" s="188">
        <f>SUM(G35:G40)</f>
        <v>2600001.4500000002</v>
      </c>
      <c r="H41" s="72" t="s">
        <v>84</v>
      </c>
      <c r="I41" s="336"/>
    </row>
    <row r="42" spans="1:13" x14ac:dyDescent="0.2">
      <c r="A42" s="67">
        <f t="shared" si="0"/>
        <v>9</v>
      </c>
      <c r="B42" s="78"/>
      <c r="C42" s="68" t="s">
        <v>202</v>
      </c>
      <c r="D42" s="69" t="s">
        <v>100</v>
      </c>
      <c r="E42" s="75" t="s">
        <v>215</v>
      </c>
      <c r="F42" s="157">
        <v>0.03</v>
      </c>
      <c r="G42" s="187"/>
      <c r="H42" s="72" t="s">
        <v>216</v>
      </c>
      <c r="I42" s="335"/>
    </row>
    <row r="43" spans="1:13" x14ac:dyDescent="0.2">
      <c r="A43" s="67">
        <f t="shared" si="0"/>
        <v>10</v>
      </c>
      <c r="B43" s="78"/>
      <c r="C43" s="68" t="s">
        <v>202</v>
      </c>
      <c r="D43" s="69" t="s">
        <v>100</v>
      </c>
      <c r="E43" s="70" t="s">
        <v>85</v>
      </c>
      <c r="F43" s="157"/>
      <c r="G43" s="188">
        <f>ROUND(+G41*F42,2)</f>
        <v>78000.039999999994</v>
      </c>
      <c r="H43" s="72" t="s">
        <v>86</v>
      </c>
      <c r="I43" s="335"/>
    </row>
    <row r="44" spans="1:13" x14ac:dyDescent="0.2">
      <c r="A44" s="67">
        <f t="shared" si="0"/>
        <v>11</v>
      </c>
      <c r="B44" s="78"/>
      <c r="C44" s="68" t="s">
        <v>203</v>
      </c>
      <c r="D44" s="69" t="s">
        <v>100</v>
      </c>
      <c r="E44" s="70" t="s">
        <v>217</v>
      </c>
      <c r="F44" s="157"/>
      <c r="G44" s="187">
        <v>0</v>
      </c>
      <c r="H44" s="72" t="s">
        <v>218</v>
      </c>
      <c r="I44" s="335"/>
    </row>
    <row r="45" spans="1:13" x14ac:dyDescent="0.2">
      <c r="A45" s="67">
        <f t="shared" si="0"/>
        <v>12</v>
      </c>
      <c r="B45" s="78"/>
      <c r="C45" s="68" t="s">
        <v>203</v>
      </c>
      <c r="D45" s="69" t="s">
        <v>100</v>
      </c>
      <c r="E45" s="70" t="s">
        <v>219</v>
      </c>
      <c r="F45" s="157"/>
      <c r="G45" s="187">
        <v>0</v>
      </c>
      <c r="H45" s="72" t="s">
        <v>220</v>
      </c>
      <c r="I45" s="335"/>
    </row>
    <row r="46" spans="1:13" x14ac:dyDescent="0.2">
      <c r="A46" s="67">
        <f t="shared" si="0"/>
        <v>13</v>
      </c>
      <c r="B46" s="78"/>
      <c r="C46" s="68" t="s">
        <v>203</v>
      </c>
      <c r="D46" s="69" t="s">
        <v>100</v>
      </c>
      <c r="E46" s="70" t="s">
        <v>221</v>
      </c>
      <c r="F46" s="157"/>
      <c r="G46" s="187">
        <v>0</v>
      </c>
      <c r="H46" s="72" t="s">
        <v>222</v>
      </c>
      <c r="I46" s="335"/>
    </row>
    <row r="47" spans="1:13" x14ac:dyDescent="0.2">
      <c r="A47" s="67">
        <f t="shared" si="0"/>
        <v>14</v>
      </c>
      <c r="B47" s="78"/>
      <c r="C47" s="68" t="s">
        <v>203</v>
      </c>
      <c r="D47" s="69" t="s">
        <v>100</v>
      </c>
      <c r="E47" s="70" t="s">
        <v>102</v>
      </c>
      <c r="F47" s="157"/>
      <c r="G47" s="187">
        <v>0</v>
      </c>
      <c r="H47" s="72" t="s">
        <v>103</v>
      </c>
      <c r="I47" s="335"/>
    </row>
    <row r="48" spans="1:13" x14ac:dyDescent="0.2">
      <c r="A48" s="67">
        <f t="shared" si="0"/>
        <v>15</v>
      </c>
      <c r="B48" s="78"/>
      <c r="C48" s="68" t="s">
        <v>203</v>
      </c>
      <c r="D48" s="69" t="s">
        <v>100</v>
      </c>
      <c r="E48" s="70" t="s">
        <v>223</v>
      </c>
      <c r="F48" s="157"/>
      <c r="G48" s="187">
        <v>0</v>
      </c>
      <c r="H48" s="72" t="s">
        <v>224</v>
      </c>
      <c r="I48" s="335"/>
    </row>
    <row r="49" spans="1:9" x14ac:dyDescent="0.2">
      <c r="A49" s="191">
        <f t="shared" si="0"/>
        <v>16</v>
      </c>
      <c r="B49" s="74"/>
      <c r="C49" s="74" t="s">
        <v>202</v>
      </c>
      <c r="D49" s="76" t="s">
        <v>100</v>
      </c>
      <c r="E49" s="74" t="str">
        <f>'PT-Example '!H99</f>
        <v>PTDC</v>
      </c>
      <c r="F49" s="158"/>
      <c r="G49" s="341">
        <f>'PT-Example '!L99</f>
        <v>-460234.31</v>
      </c>
      <c r="H49" s="72" t="s">
        <v>225</v>
      </c>
      <c r="I49" s="335"/>
    </row>
    <row r="50" spans="1:9" x14ac:dyDescent="0.2">
      <c r="A50" s="67">
        <f t="shared" si="0"/>
        <v>17</v>
      </c>
      <c r="B50" s="78"/>
      <c r="C50" s="68" t="s">
        <v>202</v>
      </c>
      <c r="D50" s="69" t="s">
        <v>100</v>
      </c>
      <c r="E50" s="70" t="s">
        <v>91</v>
      </c>
      <c r="F50" s="157"/>
      <c r="G50" s="187">
        <v>0</v>
      </c>
      <c r="H50" s="72" t="s">
        <v>259</v>
      </c>
      <c r="I50" s="335"/>
    </row>
    <row r="51" spans="1:9" x14ac:dyDescent="0.2">
      <c r="A51" s="67">
        <f t="shared" si="0"/>
        <v>18</v>
      </c>
      <c r="B51" s="78"/>
      <c r="C51" s="68" t="s">
        <v>202</v>
      </c>
      <c r="D51" s="69" t="s">
        <v>100</v>
      </c>
      <c r="E51" s="70" t="s">
        <v>109</v>
      </c>
      <c r="F51" s="157"/>
      <c r="G51" s="189">
        <f>' VV - Example'!H56</f>
        <v>768000.12</v>
      </c>
      <c r="H51" s="72" t="s">
        <v>226</v>
      </c>
      <c r="I51" s="335"/>
    </row>
    <row r="52" spans="1:9" x14ac:dyDescent="0.2">
      <c r="A52" s="191">
        <f t="shared" si="0"/>
        <v>19</v>
      </c>
      <c r="B52" s="74"/>
      <c r="C52" s="68" t="s">
        <v>202</v>
      </c>
      <c r="D52" s="69" t="s">
        <v>100</v>
      </c>
      <c r="E52" s="70" t="s">
        <v>227</v>
      </c>
      <c r="F52" s="157"/>
      <c r="G52" s="188">
        <f>+G41+SUM(G43:G51)</f>
        <v>2985767.3000000003</v>
      </c>
      <c r="H52" s="72" t="s">
        <v>228</v>
      </c>
      <c r="I52" s="334"/>
    </row>
    <row r="53" spans="1:9" x14ac:dyDescent="0.2">
      <c r="A53" s="67">
        <f t="shared" si="0"/>
        <v>20</v>
      </c>
      <c r="B53" s="78"/>
      <c r="C53" s="68" t="s">
        <v>202</v>
      </c>
      <c r="D53" s="69" t="s">
        <v>100</v>
      </c>
      <c r="E53" s="70" t="s">
        <v>229</v>
      </c>
      <c r="F53" s="157"/>
      <c r="G53" s="339">
        <f>IF(G82&gt;0,0,+G82)</f>
        <v>-49075733.929999992</v>
      </c>
      <c r="H53" s="72" t="s">
        <v>230</v>
      </c>
      <c r="I53" s="334"/>
    </row>
    <row r="54" spans="1:9" x14ac:dyDescent="0.2">
      <c r="A54" s="67">
        <f t="shared" si="0"/>
        <v>21</v>
      </c>
      <c r="B54" s="78"/>
      <c r="C54" s="68" t="s">
        <v>202</v>
      </c>
      <c r="D54" s="69" t="s">
        <v>100</v>
      </c>
      <c r="E54" s="70" t="s">
        <v>231</v>
      </c>
      <c r="F54" s="157"/>
      <c r="G54" s="339">
        <f>+G34+G52+G53</f>
        <v>-46089966.629999995</v>
      </c>
      <c r="H54" s="72" t="s">
        <v>232</v>
      </c>
      <c r="I54" s="334"/>
    </row>
    <row r="55" spans="1:9" x14ac:dyDescent="0.2">
      <c r="A55" s="67">
        <f t="shared" si="0"/>
        <v>22</v>
      </c>
      <c r="B55" s="78"/>
      <c r="C55" s="68" t="s">
        <v>202</v>
      </c>
      <c r="D55" s="69" t="s">
        <v>100</v>
      </c>
      <c r="E55" s="70" t="s">
        <v>233</v>
      </c>
      <c r="F55" s="157"/>
      <c r="G55" s="188">
        <f>ROUND(IF(G54&lt;0,0,(+G34+G54)*0.5),2)</f>
        <v>0</v>
      </c>
      <c r="H55" s="72" t="s">
        <v>234</v>
      </c>
      <c r="I55" s="334"/>
    </row>
    <row r="56" spans="1:9" x14ac:dyDescent="0.2">
      <c r="A56" s="67">
        <f t="shared" si="0"/>
        <v>23</v>
      </c>
      <c r="B56" s="78"/>
      <c r="C56" s="68" t="s">
        <v>202</v>
      </c>
      <c r="D56" s="69" t="s">
        <v>100</v>
      </c>
      <c r="E56" s="70" t="s">
        <v>235</v>
      </c>
      <c r="F56" s="158">
        <v>6.4516E-3</v>
      </c>
      <c r="G56" s="187"/>
      <c r="H56" s="72" t="s">
        <v>236</v>
      </c>
      <c r="I56" s="334"/>
    </row>
    <row r="57" spans="1:9" x14ac:dyDescent="0.2">
      <c r="A57" s="67">
        <f t="shared" si="0"/>
        <v>24</v>
      </c>
      <c r="B57" s="78"/>
      <c r="C57" s="68" t="s">
        <v>202</v>
      </c>
      <c r="D57" s="69" t="s">
        <v>100</v>
      </c>
      <c r="E57" s="73" t="s">
        <v>237</v>
      </c>
      <c r="F57" s="157"/>
      <c r="G57" s="188">
        <f>ROUND(G55*F56,2)</f>
        <v>0</v>
      </c>
      <c r="H57" s="72" t="s">
        <v>238</v>
      </c>
      <c r="I57" s="334"/>
    </row>
    <row r="58" spans="1:9" x14ac:dyDescent="0.2">
      <c r="A58" s="67">
        <f t="shared" si="0"/>
        <v>25</v>
      </c>
      <c r="B58" s="78"/>
      <c r="C58" s="68" t="s">
        <v>202</v>
      </c>
      <c r="D58" s="69" t="s">
        <v>100</v>
      </c>
      <c r="E58" s="74" t="s">
        <v>239</v>
      </c>
      <c r="F58" s="157"/>
      <c r="G58" s="339">
        <f>+G54+G57</f>
        <v>-46089966.629999995</v>
      </c>
      <c r="H58" s="72" t="s">
        <v>240</v>
      </c>
      <c r="I58" s="334"/>
    </row>
    <row r="59" spans="1:9" x14ac:dyDescent="0.2">
      <c r="A59" s="67">
        <f t="shared" si="0"/>
        <v>26</v>
      </c>
      <c r="B59" s="78"/>
      <c r="C59" s="68" t="s">
        <v>202</v>
      </c>
      <c r="D59" s="69" t="s">
        <v>100</v>
      </c>
      <c r="E59" s="70" t="s">
        <v>241</v>
      </c>
      <c r="F59" s="157"/>
      <c r="G59" s="339">
        <f>G58</f>
        <v>-46089966.629999995</v>
      </c>
      <c r="H59" s="72" t="s">
        <v>242</v>
      </c>
      <c r="I59" s="334"/>
    </row>
    <row r="60" spans="1:9" x14ac:dyDescent="0.2">
      <c r="A60" s="67">
        <f t="shared" si="0"/>
        <v>27</v>
      </c>
      <c r="B60" s="78"/>
      <c r="C60" s="68" t="s">
        <v>202</v>
      </c>
      <c r="D60" s="69" t="s">
        <v>143</v>
      </c>
      <c r="E60" s="70" t="s">
        <v>239</v>
      </c>
      <c r="F60" s="157"/>
      <c r="G60" s="188">
        <f>IF(G58&gt;0,0,-G59)</f>
        <v>46089966.629999995</v>
      </c>
      <c r="H60" s="72" t="s">
        <v>240</v>
      </c>
      <c r="I60" s="334"/>
    </row>
    <row r="61" spans="1:9" x14ac:dyDescent="0.2">
      <c r="A61" s="67">
        <f t="shared" si="0"/>
        <v>28</v>
      </c>
      <c r="B61" s="78"/>
      <c r="C61" s="68" t="s">
        <v>202</v>
      </c>
      <c r="D61" s="69" t="s">
        <v>143</v>
      </c>
      <c r="E61" s="70" t="s">
        <v>144</v>
      </c>
      <c r="F61" s="158">
        <v>0.4</v>
      </c>
      <c r="G61" s="187"/>
      <c r="H61" s="72" t="s">
        <v>145</v>
      </c>
      <c r="I61" s="334"/>
    </row>
    <row r="62" spans="1:9" x14ac:dyDescent="0.2">
      <c r="A62" s="67">
        <f t="shared" si="0"/>
        <v>29</v>
      </c>
      <c r="B62" s="78"/>
      <c r="C62" s="68" t="s">
        <v>202</v>
      </c>
      <c r="D62" s="69" t="s">
        <v>143</v>
      </c>
      <c r="E62" s="70" t="s">
        <v>243</v>
      </c>
      <c r="F62" s="157"/>
      <c r="G62" s="188">
        <f>ROUND(+G60*F61,2)</f>
        <v>18435986.649999999</v>
      </c>
      <c r="H62" s="72" t="s">
        <v>244</v>
      </c>
      <c r="I62" s="334"/>
    </row>
    <row r="63" spans="1:9" x14ac:dyDescent="0.2">
      <c r="A63" s="67">
        <f t="shared" si="0"/>
        <v>30</v>
      </c>
      <c r="B63" s="78"/>
      <c r="C63" s="68" t="s">
        <v>202</v>
      </c>
      <c r="D63" s="77" t="s">
        <v>79</v>
      </c>
      <c r="E63" s="78" t="s">
        <v>141</v>
      </c>
      <c r="F63" s="157"/>
      <c r="G63" s="187">
        <v>0</v>
      </c>
      <c r="H63" s="72" t="s">
        <v>245</v>
      </c>
      <c r="I63" s="334"/>
    </row>
    <row r="64" spans="1:9" x14ac:dyDescent="0.2">
      <c r="A64" s="67">
        <f t="shared" si="0"/>
        <v>31</v>
      </c>
      <c r="B64" s="78"/>
      <c r="C64" s="68" t="s">
        <v>203</v>
      </c>
      <c r="D64" s="77" t="s">
        <v>79</v>
      </c>
      <c r="E64" s="78" t="s">
        <v>81</v>
      </c>
      <c r="F64" s="157" t="s">
        <v>80</v>
      </c>
      <c r="G64" s="340">
        <f>-' VV - Example'!H51-' VV - Example'!H67</f>
        <v>-78170230.069999993</v>
      </c>
      <c r="H64" s="72" t="s">
        <v>246</v>
      </c>
      <c r="I64" s="334"/>
    </row>
    <row r="65" spans="1:9" x14ac:dyDescent="0.2">
      <c r="A65" s="67">
        <f t="shared" si="0"/>
        <v>32</v>
      </c>
      <c r="B65" s="78"/>
      <c r="C65" s="68" t="s">
        <v>203</v>
      </c>
      <c r="D65" s="69" t="s">
        <v>79</v>
      </c>
      <c r="E65" s="70" t="s">
        <v>247</v>
      </c>
      <c r="F65" s="157"/>
      <c r="G65" s="187">
        <v>3000.66</v>
      </c>
      <c r="H65" s="72" t="s">
        <v>248</v>
      </c>
      <c r="I65" s="334"/>
    </row>
    <row r="66" spans="1:9" x14ac:dyDescent="0.2">
      <c r="A66" s="67">
        <f t="shared" si="0"/>
        <v>33</v>
      </c>
      <c r="B66" s="78"/>
      <c r="C66" s="68" t="s">
        <v>203</v>
      </c>
      <c r="D66" s="69" t="s">
        <v>79</v>
      </c>
      <c r="E66" s="70" t="s">
        <v>249</v>
      </c>
      <c r="F66" s="157"/>
      <c r="G66" s="187">
        <v>0</v>
      </c>
      <c r="H66" s="72" t="s">
        <v>250</v>
      </c>
      <c r="I66" s="334"/>
    </row>
    <row r="67" spans="1:9" x14ac:dyDescent="0.2">
      <c r="A67" s="67">
        <f t="shared" si="0"/>
        <v>34</v>
      </c>
      <c r="B67" s="78"/>
      <c r="C67" s="68" t="s">
        <v>203</v>
      </c>
      <c r="D67" s="69" t="s">
        <v>79</v>
      </c>
      <c r="E67" s="70" t="s">
        <v>251</v>
      </c>
      <c r="F67" s="157"/>
      <c r="G67" s="187">
        <v>1500.56</v>
      </c>
      <c r="H67" s="72" t="s">
        <v>252</v>
      </c>
      <c r="I67" s="334"/>
    </row>
    <row r="68" spans="1:9" x14ac:dyDescent="0.2">
      <c r="A68" s="67">
        <f t="shared" si="0"/>
        <v>35</v>
      </c>
      <c r="B68" s="78"/>
      <c r="C68" s="68" t="s">
        <v>202</v>
      </c>
      <c r="D68" s="77" t="s">
        <v>79</v>
      </c>
      <c r="E68" s="78" t="s">
        <v>253</v>
      </c>
      <c r="F68" s="157" t="s">
        <v>80</v>
      </c>
      <c r="G68" s="187">
        <v>0</v>
      </c>
      <c r="H68" s="72" t="s">
        <v>254</v>
      </c>
      <c r="I68" s="334"/>
    </row>
    <row r="69" spans="1:9" x14ac:dyDescent="0.2">
      <c r="A69" s="67">
        <f t="shared" si="0"/>
        <v>36</v>
      </c>
      <c r="B69" s="78"/>
      <c r="C69" s="68" t="s">
        <v>202</v>
      </c>
      <c r="D69" s="77" t="s">
        <v>79</v>
      </c>
      <c r="E69" s="70" t="s">
        <v>213</v>
      </c>
      <c r="F69" s="157"/>
      <c r="G69" s="187">
        <v>0</v>
      </c>
      <c r="H69" s="72" t="s">
        <v>214</v>
      </c>
      <c r="I69" s="335"/>
    </row>
    <row r="70" spans="1:9" x14ac:dyDescent="0.2">
      <c r="A70" s="67">
        <f t="shared" si="0"/>
        <v>37</v>
      </c>
      <c r="B70" s="78"/>
      <c r="C70" s="68" t="s">
        <v>202</v>
      </c>
      <c r="D70" s="77" t="s">
        <v>79</v>
      </c>
      <c r="E70" s="74" t="s">
        <v>83</v>
      </c>
      <c r="F70" s="157"/>
      <c r="G70" s="188">
        <f>SUM(G65:G69)</f>
        <v>4501.2199999999993</v>
      </c>
      <c r="H70" s="72" t="s">
        <v>84</v>
      </c>
      <c r="I70" s="334"/>
    </row>
    <row r="71" spans="1:9" x14ac:dyDescent="0.2">
      <c r="A71" s="67">
        <f t="shared" si="0"/>
        <v>38</v>
      </c>
      <c r="B71" s="78"/>
      <c r="C71" s="68" t="s">
        <v>202</v>
      </c>
      <c r="D71" s="69" t="s">
        <v>79</v>
      </c>
      <c r="E71" s="75" t="s">
        <v>215</v>
      </c>
      <c r="F71" s="157">
        <v>0.09</v>
      </c>
      <c r="G71" s="187"/>
      <c r="H71" s="72" t="s">
        <v>216</v>
      </c>
      <c r="I71" s="334"/>
    </row>
    <row r="72" spans="1:9" x14ac:dyDescent="0.2">
      <c r="A72" s="67">
        <f t="shared" si="0"/>
        <v>39</v>
      </c>
      <c r="B72" s="78"/>
      <c r="C72" s="68" t="s">
        <v>202</v>
      </c>
      <c r="D72" s="69" t="s">
        <v>79</v>
      </c>
      <c r="E72" s="70" t="s">
        <v>85</v>
      </c>
      <c r="F72" s="157"/>
      <c r="G72" s="188">
        <f>ROUND(+G70*F71,2)</f>
        <v>405.11</v>
      </c>
      <c r="H72" s="72" t="s">
        <v>86</v>
      </c>
      <c r="I72" s="334"/>
    </row>
    <row r="73" spans="1:9" x14ac:dyDescent="0.2">
      <c r="A73" s="67">
        <f t="shared" si="0"/>
        <v>40</v>
      </c>
      <c r="B73" s="78"/>
      <c r="C73" s="68" t="s">
        <v>203</v>
      </c>
      <c r="D73" s="69" t="s">
        <v>79</v>
      </c>
      <c r="E73" s="70" t="s">
        <v>255</v>
      </c>
      <c r="F73" s="157"/>
      <c r="G73" s="189">
        <f>+' VV - Example'!H54+' VV - Example'!H72</f>
        <v>158782.41</v>
      </c>
      <c r="H73" s="72" t="s">
        <v>256</v>
      </c>
      <c r="I73" s="335"/>
    </row>
    <row r="74" spans="1:9" x14ac:dyDescent="0.2">
      <c r="A74" s="67">
        <f t="shared" si="0"/>
        <v>41</v>
      </c>
      <c r="B74" s="79"/>
      <c r="C74" s="79" t="s">
        <v>202</v>
      </c>
      <c r="D74" s="80" t="s">
        <v>79</v>
      </c>
      <c r="E74" s="81" t="str">
        <f>'PT-Example '!H96</f>
        <v>PTLA</v>
      </c>
      <c r="F74" s="158"/>
      <c r="G74" s="190">
        <f>'PT-Example '!L96</f>
        <v>19153027.140000001</v>
      </c>
      <c r="H74" s="72" t="s">
        <v>257</v>
      </c>
      <c r="I74" s="335"/>
    </row>
    <row r="75" spans="1:9" x14ac:dyDescent="0.2">
      <c r="A75" s="67">
        <f t="shared" si="0"/>
        <v>42</v>
      </c>
      <c r="B75" s="74"/>
      <c r="C75" s="74" t="s">
        <v>202</v>
      </c>
      <c r="D75" s="80" t="s">
        <v>79</v>
      </c>
      <c r="E75" s="81" t="str">
        <f>'PT-Example '!H98</f>
        <v>PTLRC</v>
      </c>
      <c r="F75" s="158"/>
      <c r="G75" s="190">
        <f>'PT-Example '!L98</f>
        <v>0</v>
      </c>
      <c r="H75" s="72" t="s">
        <v>258</v>
      </c>
      <c r="I75" s="335"/>
    </row>
    <row r="76" spans="1:9" x14ac:dyDescent="0.2">
      <c r="A76" s="67">
        <f t="shared" si="0"/>
        <v>43</v>
      </c>
      <c r="B76" s="78"/>
      <c r="C76" s="68" t="s">
        <v>203</v>
      </c>
      <c r="D76" s="77" t="s">
        <v>79</v>
      </c>
      <c r="E76" s="78" t="s">
        <v>87</v>
      </c>
      <c r="F76" s="157"/>
      <c r="G76" s="187">
        <v>1500.88</v>
      </c>
      <c r="H76" s="72" t="s">
        <v>88</v>
      </c>
      <c r="I76" s="335"/>
    </row>
    <row r="77" spans="1:9" x14ac:dyDescent="0.2">
      <c r="A77" s="67">
        <f t="shared" si="0"/>
        <v>44</v>
      </c>
      <c r="B77" s="78"/>
      <c r="C77" s="68" t="s">
        <v>203</v>
      </c>
      <c r="D77" s="77" t="s">
        <v>79</v>
      </c>
      <c r="E77" s="78" t="s">
        <v>89</v>
      </c>
      <c r="F77" s="157"/>
      <c r="G77" s="187">
        <v>5000.12</v>
      </c>
      <c r="H77" s="72" t="s">
        <v>90</v>
      </c>
      <c r="I77" s="334"/>
    </row>
    <row r="78" spans="1:9" x14ac:dyDescent="0.2">
      <c r="A78" s="67">
        <f t="shared" si="0"/>
        <v>45</v>
      </c>
      <c r="B78" s="78"/>
      <c r="C78" s="68" t="s">
        <v>202</v>
      </c>
      <c r="D78" s="77" t="s">
        <v>79</v>
      </c>
      <c r="E78" s="70" t="s">
        <v>91</v>
      </c>
      <c r="F78" s="157"/>
      <c r="G78" s="187">
        <v>0</v>
      </c>
      <c r="H78" s="72" t="s">
        <v>259</v>
      </c>
      <c r="I78" s="335"/>
    </row>
    <row r="79" spans="1:9" x14ac:dyDescent="0.2">
      <c r="A79" s="67">
        <f t="shared" si="0"/>
        <v>46</v>
      </c>
      <c r="B79" s="78"/>
      <c r="C79" s="68" t="s">
        <v>202</v>
      </c>
      <c r="D79" s="77" t="s">
        <v>79</v>
      </c>
      <c r="E79" s="78" t="s">
        <v>260</v>
      </c>
      <c r="F79" s="157"/>
      <c r="G79" s="188">
        <f>SUM(G72:G78)</f>
        <v>19318715.66</v>
      </c>
      <c r="H79" s="72" t="s">
        <v>261</v>
      </c>
      <c r="I79" s="334"/>
    </row>
    <row r="80" spans="1:9" x14ac:dyDescent="0.2">
      <c r="A80" s="67">
        <f t="shared" si="0"/>
        <v>47</v>
      </c>
      <c r="B80" s="78"/>
      <c r="C80" s="68" t="s">
        <v>203</v>
      </c>
      <c r="D80" s="69" t="s">
        <v>79</v>
      </c>
      <c r="E80" s="68" t="s">
        <v>93</v>
      </c>
      <c r="F80" s="157" t="s">
        <v>80</v>
      </c>
      <c r="G80" s="189">
        <f>+' VV - Example'!H52+' VV - Example'!H68</f>
        <v>9771279.2599999998</v>
      </c>
      <c r="H80" s="72" t="s">
        <v>262</v>
      </c>
      <c r="I80" s="335"/>
    </row>
    <row r="81" spans="1:9" x14ac:dyDescent="0.2">
      <c r="A81" s="67">
        <f t="shared" si="0"/>
        <v>48</v>
      </c>
      <c r="B81" s="78"/>
      <c r="C81" s="68" t="s">
        <v>202</v>
      </c>
      <c r="D81" s="69" t="s">
        <v>79</v>
      </c>
      <c r="E81" s="68" t="s">
        <v>263</v>
      </c>
      <c r="F81" s="157" t="s">
        <v>80</v>
      </c>
      <c r="G81" s="188">
        <f>G70+G79+G80</f>
        <v>29094496.140000001</v>
      </c>
      <c r="H81" s="72" t="s">
        <v>264</v>
      </c>
      <c r="I81" s="334"/>
    </row>
    <row r="82" spans="1:9" x14ac:dyDescent="0.2">
      <c r="A82" s="67">
        <f t="shared" si="0"/>
        <v>49</v>
      </c>
      <c r="B82" s="78"/>
      <c r="C82" s="68" t="s">
        <v>202</v>
      </c>
      <c r="D82" s="69" t="s">
        <v>79</v>
      </c>
      <c r="E82" s="68" t="s">
        <v>265</v>
      </c>
      <c r="F82" s="157" t="s">
        <v>80</v>
      </c>
      <c r="G82" s="339">
        <f>+G63+G64+G81</f>
        <v>-49075733.929999992</v>
      </c>
      <c r="H82" s="72" t="s">
        <v>266</v>
      </c>
      <c r="I82" s="334"/>
    </row>
    <row r="83" spans="1:9" x14ac:dyDescent="0.2">
      <c r="A83" s="67">
        <f t="shared" si="0"/>
        <v>50</v>
      </c>
      <c r="B83" s="78"/>
      <c r="C83" s="68" t="s">
        <v>202</v>
      </c>
      <c r="D83" s="69" t="s">
        <v>79</v>
      </c>
      <c r="E83" s="70" t="s">
        <v>241</v>
      </c>
      <c r="F83" s="157"/>
      <c r="G83" s="188">
        <f>+IF(G82&gt;0,G82,0)</f>
        <v>0</v>
      </c>
      <c r="H83" s="72" t="s">
        <v>242</v>
      </c>
      <c r="I83" s="334"/>
    </row>
    <row r="85" spans="1:9" ht="12" thickBot="1" x14ac:dyDescent="0.25"/>
    <row r="86" spans="1:9" ht="16.5" thickTop="1" x14ac:dyDescent="0.25">
      <c r="A86" s="84" t="s">
        <v>267</v>
      </c>
      <c r="B86" s="118"/>
      <c r="C86" s="85"/>
      <c r="D86" s="85"/>
      <c r="E86" s="85"/>
      <c r="F86" s="85"/>
      <c r="G86" s="86"/>
    </row>
    <row r="87" spans="1:9" x14ac:dyDescent="0.2">
      <c r="A87" s="87"/>
      <c r="B87" s="88"/>
      <c r="C87" s="88"/>
      <c r="D87" s="88"/>
      <c r="E87" s="88"/>
      <c r="F87" s="88"/>
      <c r="G87" s="89"/>
    </row>
    <row r="88" spans="1:9" ht="12.75" x14ac:dyDescent="0.2">
      <c r="A88" s="90" t="s">
        <v>268</v>
      </c>
      <c r="B88" s="119"/>
      <c r="C88" s="38"/>
      <c r="D88" s="38"/>
      <c r="E88" s="38"/>
      <c r="F88" s="38"/>
      <c r="G88" s="91"/>
    </row>
    <row r="89" spans="1:9" ht="12.75" x14ac:dyDescent="0.2">
      <c r="A89" s="92" t="s">
        <v>269</v>
      </c>
      <c r="B89" s="120"/>
      <c r="C89" s="93"/>
      <c r="D89" s="93"/>
      <c r="E89" s="93"/>
      <c r="F89" s="93"/>
      <c r="G89" s="94"/>
    </row>
    <row r="90" spans="1:9" ht="12.75" x14ac:dyDescent="0.2">
      <c r="A90" s="95" t="s">
        <v>270</v>
      </c>
      <c r="B90" s="121"/>
      <c r="C90" s="96"/>
      <c r="D90" s="96"/>
      <c r="E90" s="96"/>
      <c r="F90" s="96"/>
      <c r="G90" s="97"/>
    </row>
    <row r="91" spans="1:9" ht="12" thickBot="1" x14ac:dyDescent="0.25">
      <c r="A91" s="98"/>
      <c r="B91" s="99"/>
      <c r="C91" s="99"/>
      <c r="D91" s="99"/>
      <c r="E91" s="99"/>
      <c r="F91" s="99"/>
      <c r="G91" s="100"/>
    </row>
    <row r="92" spans="1:9" ht="12" thickTop="1" x14ac:dyDescent="0.2"/>
  </sheetData>
  <sheetProtection selectLockedCells="1"/>
  <conditionalFormatting sqref="A76:B83 A34:B48 A50:B73 A63:A83">
    <cfRule type="cellIs" dxfId="0" priority="1" stopIfTrue="1" operator="equal">
      <formula>"A32"</formula>
    </cfRule>
  </conditionalFormatting>
  <pageMargins left="0.33" right="0" top="0.22" bottom="0.17" header="0.17" footer="0.19"/>
  <pageSetup scale="73" orientation="portrait" r:id="rId1"/>
  <headerFooter alignWithMargins="0">
    <oddHeader>&amp;C&amp;G</oddHeader>
    <oddFooter>&amp;R&amp;"Arial,Bold"&amp;6File:&amp;F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3"/>
  <sheetViews>
    <sheetView zoomScaleNormal="100" workbookViewId="0">
      <selection activeCell="D10" sqref="D10"/>
    </sheetView>
  </sheetViews>
  <sheetFormatPr defaultRowHeight="12.75" x14ac:dyDescent="0.2"/>
  <cols>
    <col min="2" max="2" width="11.42578125" customWidth="1"/>
    <col min="4" max="5" width="11.85546875" customWidth="1"/>
    <col min="6" max="6" width="13.28515625" bestFit="1" customWidth="1"/>
    <col min="7" max="7" width="13.42578125" style="131" customWidth="1"/>
    <col min="8" max="8" width="16.42578125" style="26" customWidth="1"/>
    <col min="9" max="26" width="9.140625" style="179" customWidth="1"/>
    <col min="27" max="16384" width="9.140625" style="179"/>
  </cols>
  <sheetData>
    <row r="1" spans="1:8" ht="36.75" customHeight="1" x14ac:dyDescent="0.2">
      <c r="A1" s="15" t="str">
        <f>'PT-Example '!E1</f>
        <v>ALASKA DNR - OIL &amp; GAS  V 1.201212</v>
      </c>
      <c r="B1" s="337"/>
      <c r="C1" s="17"/>
      <c r="D1" s="17"/>
      <c r="E1" s="17"/>
      <c r="F1" s="129"/>
      <c r="G1" s="17"/>
      <c r="H1" s="17"/>
    </row>
    <row r="2" spans="1:8" x14ac:dyDescent="0.2">
      <c r="A2" s="23" t="s">
        <v>39</v>
      </c>
      <c r="B2" s="1"/>
      <c r="C2" s="35" t="s">
        <v>45</v>
      </c>
      <c r="D2" s="1"/>
      <c r="E2" s="1"/>
      <c r="F2" s="20" t="str">
        <f>'PT-Example '!I2</f>
        <v>PT</v>
      </c>
      <c r="G2" s="24"/>
      <c r="H2" s="24"/>
    </row>
    <row r="3" spans="1:8" x14ac:dyDescent="0.2">
      <c r="A3" s="33" t="s">
        <v>33</v>
      </c>
      <c r="B3" s="1"/>
      <c r="C3" s="35" t="s">
        <v>43</v>
      </c>
      <c r="D3" s="1"/>
      <c r="E3" s="1"/>
      <c r="F3" s="20" t="str">
        <f>'PT-Example '!I3</f>
        <v>AL</v>
      </c>
      <c r="G3" s="25"/>
      <c r="H3" s="25"/>
    </row>
    <row r="4" spans="1:8" x14ac:dyDescent="0.2">
      <c r="A4" s="18" t="s">
        <v>40</v>
      </c>
      <c r="B4" s="19"/>
      <c r="C4" s="19"/>
      <c r="D4" s="19"/>
      <c r="E4" s="19"/>
      <c r="F4" s="20" t="str">
        <f>'PT-Example '!I4</f>
        <v>REG</v>
      </c>
      <c r="G4" s="27"/>
      <c r="H4" s="27"/>
    </row>
    <row r="5" spans="1:8" x14ac:dyDescent="0.2">
      <c r="A5" s="10" t="s">
        <v>14</v>
      </c>
      <c r="B5" s="11"/>
      <c r="C5" s="11"/>
      <c r="D5" s="11"/>
      <c r="E5" s="11"/>
      <c r="F5" s="20" t="str">
        <f>'PT-Example '!I5</f>
        <v>000012345</v>
      </c>
      <c r="G5" s="24"/>
      <c r="H5" s="24"/>
    </row>
    <row r="6" spans="1:8" x14ac:dyDescent="0.2">
      <c r="A6" s="10"/>
      <c r="B6" s="11"/>
      <c r="C6" s="11"/>
      <c r="D6" s="11"/>
      <c r="E6" s="11"/>
      <c r="F6" s="13"/>
      <c r="G6" s="24"/>
      <c r="H6" s="24"/>
    </row>
    <row r="7" spans="1:8" x14ac:dyDescent="0.2">
      <c r="A7" s="33" t="s">
        <v>15</v>
      </c>
      <c r="B7" s="11"/>
      <c r="C7" s="11"/>
      <c r="D7" s="11"/>
      <c r="E7" s="11"/>
      <c r="F7" s="125">
        <f>'PT-Example '!I7</f>
        <v>41183</v>
      </c>
      <c r="G7" s="24"/>
      <c r="H7" s="24"/>
    </row>
    <row r="8" spans="1:8" x14ac:dyDescent="0.2">
      <c r="A8" s="10" t="s">
        <v>17</v>
      </c>
      <c r="B8" s="11"/>
      <c r="C8" s="11"/>
      <c r="D8" s="11"/>
      <c r="E8" s="11"/>
      <c r="F8" s="20" t="str">
        <f>'PT-Example '!I8</f>
        <v>00</v>
      </c>
      <c r="G8" s="24"/>
      <c r="H8" s="24"/>
    </row>
    <row r="9" spans="1:8" x14ac:dyDescent="0.2">
      <c r="A9" s="10" t="s">
        <v>5</v>
      </c>
      <c r="B9" s="11"/>
      <c r="C9" s="11"/>
      <c r="D9" s="11"/>
      <c r="E9" s="11"/>
      <c r="F9" s="125">
        <f>'PT-Example '!I9</f>
        <v>41244</v>
      </c>
      <c r="G9" s="24"/>
      <c r="H9" s="24"/>
    </row>
    <row r="10" spans="1:8" x14ac:dyDescent="0.2">
      <c r="A10" s="10" t="s">
        <v>16</v>
      </c>
      <c r="B10" s="11"/>
      <c r="C10" s="11"/>
      <c r="D10" s="11"/>
      <c r="E10" s="11"/>
      <c r="F10" s="20" t="str">
        <f>'PT-Example '!I10</f>
        <v>000012345N12201200</v>
      </c>
      <c r="G10" s="24"/>
      <c r="H10" s="24"/>
    </row>
    <row r="11" spans="1:8" x14ac:dyDescent="0.2">
      <c r="A11" s="10" t="s">
        <v>13</v>
      </c>
      <c r="B11" s="11"/>
      <c r="C11" s="11"/>
      <c r="D11" s="11"/>
      <c r="E11" s="11"/>
      <c r="F11" s="125">
        <f>'PT-Example '!I11</f>
        <v>41265</v>
      </c>
      <c r="G11" s="24"/>
      <c r="H11" s="24"/>
    </row>
    <row r="12" spans="1:8" x14ac:dyDescent="0.2">
      <c r="A12" s="33" t="s">
        <v>7</v>
      </c>
      <c r="B12" s="11"/>
      <c r="C12" s="11"/>
      <c r="D12" s="11"/>
      <c r="E12" s="11"/>
      <c r="F12" s="20" t="str">
        <f>'PT-Example '!I12</f>
        <v>ADL #</v>
      </c>
      <c r="G12" s="24"/>
      <c r="H12" s="24"/>
    </row>
    <row r="13" spans="1:8" x14ac:dyDescent="0.2">
      <c r="A13" s="33"/>
      <c r="B13" s="11"/>
      <c r="C13" s="11"/>
      <c r="D13" s="11"/>
      <c r="E13" s="11"/>
      <c r="F13" s="5"/>
      <c r="G13" s="24"/>
      <c r="H13" s="24"/>
    </row>
    <row r="14" spans="1:8" x14ac:dyDescent="0.2">
      <c r="A14" s="33"/>
      <c r="B14" s="11"/>
      <c r="C14" s="11"/>
      <c r="D14" s="11"/>
      <c r="E14" s="11"/>
      <c r="F14" s="5"/>
      <c r="G14" s="24"/>
      <c r="H14" s="24"/>
    </row>
    <row r="15" spans="1:8" x14ac:dyDescent="0.2">
      <c r="A15" s="33"/>
      <c r="B15" s="11"/>
      <c r="C15" s="11"/>
      <c r="D15" s="11"/>
      <c r="E15" s="11"/>
      <c r="F15" s="5"/>
      <c r="G15" s="24"/>
      <c r="H15" s="24"/>
    </row>
    <row r="16" spans="1:8" x14ac:dyDescent="0.2">
      <c r="A16" s="33"/>
      <c r="B16" s="11"/>
      <c r="C16" s="11"/>
      <c r="D16" s="11"/>
      <c r="E16" s="11"/>
      <c r="F16" s="5"/>
      <c r="G16" s="24"/>
      <c r="H16" s="24"/>
    </row>
    <row r="17" spans="1:8" x14ac:dyDescent="0.2">
      <c r="A17" s="33"/>
      <c r="B17" s="11"/>
      <c r="C17" s="11"/>
      <c r="D17" s="11"/>
      <c r="E17" s="11"/>
      <c r="F17" s="5"/>
      <c r="G17" s="24"/>
      <c r="H17" s="24"/>
    </row>
    <row r="18" spans="1:8" x14ac:dyDescent="0.2">
      <c r="A18" s="12"/>
      <c r="B18" s="12"/>
      <c r="C18" s="12"/>
      <c r="D18" s="12"/>
      <c r="E18" s="12"/>
      <c r="F18" s="130"/>
      <c r="G18" s="27"/>
      <c r="H18" s="27"/>
    </row>
    <row r="19" spans="1:8" x14ac:dyDescent="0.2">
      <c r="A19" s="10" t="s">
        <v>22</v>
      </c>
      <c r="B19" s="11"/>
      <c r="C19" s="11"/>
      <c r="D19" s="11"/>
      <c r="E19" s="11"/>
      <c r="F19" s="5" t="str">
        <f>+'PT-Example '!I19</f>
        <v>XYZ Company</v>
      </c>
      <c r="G19" s="24"/>
      <c r="H19" s="24"/>
    </row>
    <row r="20" spans="1:8" x14ac:dyDescent="0.2">
      <c r="A20" s="10"/>
      <c r="B20" s="11"/>
      <c r="C20" s="11"/>
      <c r="D20" s="11"/>
      <c r="E20" s="11"/>
      <c r="F20" s="13"/>
      <c r="G20" s="24"/>
      <c r="H20" s="24"/>
    </row>
    <row r="21" spans="1:8" x14ac:dyDescent="0.2">
      <c r="A21" s="10" t="s">
        <v>0</v>
      </c>
      <c r="B21" s="11"/>
      <c r="C21" s="11"/>
      <c r="D21" s="11"/>
      <c r="E21" s="11"/>
      <c r="F21" s="5" t="str">
        <f>+'PT-Example '!I21</f>
        <v>Enter Data</v>
      </c>
      <c r="G21" s="24"/>
      <c r="H21" s="24"/>
    </row>
    <row r="22" spans="1:8" x14ac:dyDescent="0.2">
      <c r="A22" s="10" t="s">
        <v>1</v>
      </c>
      <c r="B22" s="11"/>
      <c r="C22" s="11"/>
      <c r="D22" s="11"/>
      <c r="E22" s="11"/>
      <c r="F22" s="5" t="str">
        <f>+'PT-Example '!I22</f>
        <v>Enter Data</v>
      </c>
      <c r="G22" s="24"/>
      <c r="H22" s="24"/>
    </row>
    <row r="23" spans="1:8" x14ac:dyDescent="0.2">
      <c r="A23" s="10" t="s">
        <v>2</v>
      </c>
      <c r="B23" s="11"/>
      <c r="C23" s="11"/>
      <c r="D23" s="11"/>
      <c r="E23" s="11"/>
      <c r="F23" s="5" t="str">
        <f>+'PT-Example '!I23</f>
        <v>Enter Data</v>
      </c>
      <c r="G23" s="24"/>
      <c r="H23" s="24"/>
    </row>
    <row r="24" spans="1:8" x14ac:dyDescent="0.2">
      <c r="A24" s="10" t="s">
        <v>3</v>
      </c>
      <c r="B24" s="11"/>
      <c r="C24" s="11"/>
      <c r="D24" s="11"/>
      <c r="E24" s="11"/>
      <c r="F24" s="5" t="str">
        <f>+'PT-Example '!I24</f>
        <v>Enter Data</v>
      </c>
      <c r="G24" s="24"/>
      <c r="H24" s="24"/>
    </row>
    <row r="25" spans="1:8" x14ac:dyDescent="0.2">
      <c r="A25" s="10" t="s">
        <v>4</v>
      </c>
      <c r="B25" s="11"/>
      <c r="C25" s="11"/>
      <c r="D25" s="11"/>
      <c r="E25" s="11"/>
      <c r="F25" s="5" t="str">
        <f>+'PT-Example '!I25</f>
        <v>Enter Data</v>
      </c>
      <c r="G25" s="24"/>
      <c r="H25" s="24"/>
    </row>
    <row r="26" spans="1:8" x14ac:dyDescent="0.2">
      <c r="A26" s="10" t="s">
        <v>6</v>
      </c>
      <c r="B26" s="11"/>
      <c r="C26" s="11"/>
      <c r="D26" s="11"/>
      <c r="E26" s="11"/>
      <c r="F26" s="5" t="str">
        <f>+'PT-Example '!I26</f>
        <v>Enter Data</v>
      </c>
      <c r="G26" s="24"/>
      <c r="H26" s="24"/>
    </row>
    <row r="27" spans="1:8" x14ac:dyDescent="0.2">
      <c r="A27" s="10" t="s">
        <v>8</v>
      </c>
      <c r="B27" s="11"/>
      <c r="C27" s="11"/>
      <c r="D27" s="11"/>
      <c r="E27" s="11"/>
      <c r="F27" s="5" t="str">
        <f>+'PT-Example '!I27</f>
        <v>Enter Data</v>
      </c>
      <c r="G27" s="24"/>
      <c r="H27" s="24"/>
    </row>
    <row r="28" spans="1:8" x14ac:dyDescent="0.2">
      <c r="A28" s="10" t="s">
        <v>9</v>
      </c>
      <c r="B28" s="11"/>
      <c r="C28" s="11"/>
      <c r="D28" s="11"/>
      <c r="E28" s="11"/>
      <c r="F28" s="5" t="str">
        <f>+'PT-Example '!I28</f>
        <v>Enter Data</v>
      </c>
      <c r="G28" s="24"/>
      <c r="H28" s="24"/>
    </row>
    <row r="29" spans="1:8" x14ac:dyDescent="0.2">
      <c r="A29" s="10" t="s">
        <v>12</v>
      </c>
      <c r="B29" s="11"/>
      <c r="C29" s="11"/>
      <c r="D29" s="11"/>
      <c r="E29" s="11"/>
      <c r="F29" s="5" t="str">
        <f>+'PT-Example '!I29</f>
        <v>Enter Data</v>
      </c>
      <c r="G29" s="24"/>
      <c r="H29" s="24"/>
    </row>
    <row r="30" spans="1:8" x14ac:dyDescent="0.2">
      <c r="A30" s="10" t="s">
        <v>18</v>
      </c>
      <c r="B30" s="11"/>
      <c r="C30" s="11"/>
      <c r="D30" s="11"/>
      <c r="E30" s="11"/>
      <c r="F30" s="5" t="str">
        <f>+'PT-Example '!I30</f>
        <v>Enter Data</v>
      </c>
      <c r="G30" s="24"/>
      <c r="H30" s="24"/>
    </row>
    <row r="31" spans="1:8" x14ac:dyDescent="0.2">
      <c r="A31" s="10" t="s">
        <v>10</v>
      </c>
      <c r="B31" s="11"/>
      <c r="C31" s="11"/>
      <c r="D31" s="11"/>
      <c r="E31" s="11"/>
      <c r="F31" s="5" t="str">
        <f>+'PT-Example '!I31</f>
        <v>Enter Data</v>
      </c>
      <c r="G31" s="24"/>
      <c r="H31" s="24"/>
    </row>
    <row r="32" spans="1:8" ht="13.5" thickBot="1" x14ac:dyDescent="0.25">
      <c r="A32" s="10" t="s">
        <v>11</v>
      </c>
      <c r="B32" s="11"/>
      <c r="C32" s="11"/>
      <c r="D32" s="11"/>
      <c r="E32" s="11"/>
      <c r="F32" s="5" t="str">
        <f>+'PT-Example '!I32</f>
        <v>Enter Data</v>
      </c>
      <c r="G32" s="24"/>
      <c r="H32" s="24"/>
    </row>
    <row r="33" spans="1:9" ht="23.25" thickBot="1" x14ac:dyDescent="0.25">
      <c r="A33" s="128" t="s">
        <v>19</v>
      </c>
      <c r="B33" s="21" t="s">
        <v>37</v>
      </c>
      <c r="C33" s="21" t="s">
        <v>24</v>
      </c>
      <c r="D33" s="21" t="s">
        <v>20</v>
      </c>
      <c r="E33" s="128" t="s">
        <v>30</v>
      </c>
      <c r="F33" s="128" t="s">
        <v>31</v>
      </c>
      <c r="G33" s="128" t="s">
        <v>25</v>
      </c>
      <c r="H33" s="21" t="s">
        <v>21</v>
      </c>
      <c r="I33" s="325"/>
    </row>
    <row r="34" spans="1:9" x14ac:dyDescent="0.2">
      <c r="A34" s="22">
        <f>'PT-Example '!E34</f>
        <v>1</v>
      </c>
      <c r="B34" s="22" t="str">
        <f>'PT-Example '!F34</f>
        <v>PTR</v>
      </c>
      <c r="C34" s="22" t="str">
        <f>'PT-Example '!G34</f>
        <v>PR</v>
      </c>
      <c r="D34" s="22" t="str">
        <f>'PT-Example '!H34</f>
        <v>TCR</v>
      </c>
      <c r="E34" s="149"/>
      <c r="F34" s="159"/>
      <c r="G34" s="152"/>
      <c r="H34" s="146">
        <f>'PT-Example '!L34</f>
        <v>-78170230.069999993</v>
      </c>
    </row>
    <row r="35" spans="1:9" x14ac:dyDescent="0.2">
      <c r="A35" s="22">
        <f>'PT-Example '!E35</f>
        <v>2</v>
      </c>
      <c r="B35" s="22" t="str">
        <f>'PT-Example '!F35</f>
        <v>PTR</v>
      </c>
      <c r="C35" s="22" t="str">
        <f>'PT-Example '!G35</f>
        <v>PR</v>
      </c>
      <c r="D35" s="22" t="str">
        <f>'PT-Example '!H35</f>
        <v>TOI</v>
      </c>
      <c r="E35" s="148"/>
      <c r="F35" s="160"/>
      <c r="G35" s="153"/>
      <c r="H35" s="147">
        <f>'PT-Example '!L35</f>
        <v>4501.2199999999993</v>
      </c>
    </row>
    <row r="36" spans="1:9" x14ac:dyDescent="0.2">
      <c r="A36" s="22">
        <f>'PT-Example '!E36</f>
        <v>3</v>
      </c>
      <c r="B36" s="22" t="str">
        <f>'PT-Example '!F36</f>
        <v>PTR</v>
      </c>
      <c r="C36" s="22" t="str">
        <f>'PT-Example '!G36</f>
        <v>PR</v>
      </c>
      <c r="D36" s="22" t="str">
        <f>'PT-Example '!H36</f>
        <v>OVHR</v>
      </c>
      <c r="E36" s="148"/>
      <c r="F36" s="161"/>
      <c r="G36" s="150">
        <f>'PT-Example '!L36</f>
        <v>0.09</v>
      </c>
      <c r="H36" s="147"/>
    </row>
    <row r="37" spans="1:9" x14ac:dyDescent="0.2">
      <c r="A37" s="22">
        <f>'PT-Example '!E37</f>
        <v>4</v>
      </c>
      <c r="B37" s="22" t="str">
        <f>'PT-Example '!F37</f>
        <v>PTR</v>
      </c>
      <c r="C37" s="22" t="str">
        <f>'PT-Example '!G37</f>
        <v>PR</v>
      </c>
      <c r="D37" s="22" t="str">
        <f>'PT-Example '!H37</f>
        <v>GOAE</v>
      </c>
      <c r="E37" s="148"/>
      <c r="F37" s="161"/>
      <c r="G37" s="150"/>
      <c r="H37" s="147">
        <f>ROUND('PT-Example '!L37,2)</f>
        <v>405.11</v>
      </c>
    </row>
    <row r="38" spans="1:9" x14ac:dyDescent="0.2">
      <c r="A38" s="22">
        <f>'PT-Example '!E38</f>
        <v>5</v>
      </c>
      <c r="B38" s="22" t="str">
        <f>'PT-Example '!F38</f>
        <v>PTR</v>
      </c>
      <c r="C38" s="22" t="str">
        <f>'PT-Example '!G38</f>
        <v>PR</v>
      </c>
      <c r="D38" s="22" t="str">
        <f>'PT-Example '!H38</f>
        <v>AVT</v>
      </c>
      <c r="E38" s="148"/>
      <c r="F38" s="161"/>
      <c r="G38" s="150"/>
      <c r="H38" s="147">
        <f>ROUND('PT-Example '!L38,2)</f>
        <v>1500.88</v>
      </c>
    </row>
    <row r="39" spans="1:9" x14ac:dyDescent="0.2">
      <c r="A39" s="22">
        <f>'PT-Example '!E39</f>
        <v>6</v>
      </c>
      <c r="B39" s="22" t="str">
        <f>'PT-Example '!F39</f>
        <v>PTR</v>
      </c>
      <c r="C39" s="22" t="str">
        <f>'PT-Example '!G39</f>
        <v>PR</v>
      </c>
      <c r="D39" s="22" t="str">
        <f>'PT-Example '!H39</f>
        <v>NOP</v>
      </c>
      <c r="E39" s="148"/>
      <c r="F39" s="161"/>
      <c r="G39" s="150"/>
      <c r="H39" s="147">
        <f>'PT-Example '!L39</f>
        <v>5000.12</v>
      </c>
    </row>
    <row r="40" spans="1:9" x14ac:dyDescent="0.2">
      <c r="A40" s="22">
        <f>'PT-Example '!E40</f>
        <v>7</v>
      </c>
      <c r="B40" s="22" t="str">
        <f>'PT-Example '!F40</f>
        <v>PTR</v>
      </c>
      <c r="C40" s="22" t="str">
        <f>'PT-Example '!G40</f>
        <v>PR</v>
      </c>
      <c r="D40" s="22" t="str">
        <f>'PT-Example '!H40</f>
        <v>AANOH</v>
      </c>
      <c r="E40" s="148"/>
      <c r="F40" s="161"/>
      <c r="G40" s="150"/>
      <c r="H40" s="147">
        <f>ROUND('PT-Example '!L40,2)</f>
        <v>0</v>
      </c>
    </row>
    <row r="41" spans="1:9" x14ac:dyDescent="0.2">
      <c r="A41" s="22">
        <f>'PT-Example '!E41</f>
        <v>8</v>
      </c>
      <c r="B41" s="22" t="str">
        <f>'PT-Example '!F41</f>
        <v>PTR</v>
      </c>
      <c r="C41" s="22" t="str">
        <f>'PT-Example '!G41</f>
        <v>PR</v>
      </c>
      <c r="D41" s="22" t="str">
        <f>'PT-Example '!H41</f>
        <v>TRYE</v>
      </c>
      <c r="E41" s="148"/>
      <c r="F41" s="161"/>
      <c r="G41" s="150"/>
      <c r="H41" s="147">
        <f>ROUND('PT-Example '!L41,2)</f>
        <v>9771279.2599999998</v>
      </c>
    </row>
    <row r="42" spans="1:9" x14ac:dyDescent="0.2">
      <c r="A42" s="22">
        <f>'PT-Example '!E42</f>
        <v>9</v>
      </c>
      <c r="B42" s="22" t="str">
        <f>'PT-Example '!F42</f>
        <v>PTR</v>
      </c>
      <c r="C42" s="22" t="str">
        <f>'PT-Example '!G42</f>
        <v>PT</v>
      </c>
      <c r="D42" s="22" t="str">
        <f>'PT-Example '!H42</f>
        <v>KPRK</v>
      </c>
      <c r="E42" s="148"/>
      <c r="F42" s="161">
        <f>'PT-Example '!L42</f>
        <v>2</v>
      </c>
      <c r="G42" s="150"/>
      <c r="H42" s="148"/>
    </row>
    <row r="43" spans="1:9" x14ac:dyDescent="0.2">
      <c r="A43" s="22">
        <f>'PT-Example '!E43</f>
        <v>10</v>
      </c>
      <c r="B43" s="22" t="str">
        <f>'PT-Example '!F43</f>
        <v>PTR</v>
      </c>
      <c r="C43" s="22" t="str">
        <f>'PT-Example '!G43</f>
        <v>PT</v>
      </c>
      <c r="D43" s="22" t="str">
        <f>'PT-Example '!H43</f>
        <v>BNDCPT</v>
      </c>
      <c r="E43" s="148"/>
      <c r="F43" s="161"/>
      <c r="G43" s="150"/>
      <c r="H43" s="147">
        <f>ROUND('PT-Example '!L43,2)</f>
        <v>0</v>
      </c>
    </row>
    <row r="44" spans="1:9" x14ac:dyDescent="0.2">
      <c r="A44" s="22">
        <f>'PT-Example '!E44</f>
        <v>11</v>
      </c>
      <c r="B44" s="22" t="str">
        <f>'PT-Example '!F44</f>
        <v>PTR</v>
      </c>
      <c r="C44" s="22" t="str">
        <f>'PT-Example '!G44</f>
        <v>PT</v>
      </c>
      <c r="D44" s="22" t="str">
        <f>'PT-Example '!H44</f>
        <v>NDCPT</v>
      </c>
      <c r="E44" s="148"/>
      <c r="F44" s="161"/>
      <c r="G44" s="150"/>
      <c r="H44" s="147">
        <f>ROUND('PT-Example '!L44,2)</f>
        <v>11407.33</v>
      </c>
    </row>
    <row r="45" spans="1:9" x14ac:dyDescent="0.2">
      <c r="A45" s="22">
        <f>'PT-Example '!E45</f>
        <v>12</v>
      </c>
      <c r="B45" s="22" t="str">
        <f>'PT-Example '!F45</f>
        <v>PTR</v>
      </c>
      <c r="C45" s="22" t="str">
        <f>'PT-Example '!G45</f>
        <v>DV</v>
      </c>
      <c r="D45" s="22" t="str">
        <f>'PT-Example '!H45</f>
        <v>TOI</v>
      </c>
      <c r="E45" s="148"/>
      <c r="F45" s="161"/>
      <c r="G45" s="150"/>
      <c r="H45" s="147">
        <f>ROUND('PT-Example '!L45,2)</f>
        <v>2600001.4500000002</v>
      </c>
    </row>
    <row r="46" spans="1:9" x14ac:dyDescent="0.2">
      <c r="A46" s="22">
        <f>'PT-Example '!E46</f>
        <v>13</v>
      </c>
      <c r="B46" s="22" t="str">
        <f>'PT-Example '!F46</f>
        <v>PTR</v>
      </c>
      <c r="C46" s="166" t="str">
        <f>'PT-Example '!G46</f>
        <v>DV</v>
      </c>
      <c r="D46" s="22" t="str">
        <f>'PT-Example '!H46</f>
        <v>OVHR</v>
      </c>
      <c r="E46" s="148"/>
      <c r="F46" s="160"/>
      <c r="G46" s="150">
        <f>ROUND('PT-Example '!L46,2)</f>
        <v>0.03</v>
      </c>
      <c r="H46" s="148"/>
    </row>
    <row r="47" spans="1:9" x14ac:dyDescent="0.2">
      <c r="A47" s="22">
        <f>'PT-Example '!E47</f>
        <v>14</v>
      </c>
      <c r="B47" s="22" t="str">
        <f>'PT-Example '!F47</f>
        <v>PTR</v>
      </c>
      <c r="C47" s="173" t="str">
        <f>'PT-Example '!G47</f>
        <v>DV</v>
      </c>
      <c r="D47" s="22" t="str">
        <f>'PT-Example '!H47</f>
        <v>GOAE</v>
      </c>
      <c r="E47" s="148"/>
      <c r="F47" s="160"/>
      <c r="G47" s="150"/>
      <c r="H47" s="147">
        <f>ROUND('PT-Example '!L47,2)</f>
        <v>78000.039999999994</v>
      </c>
    </row>
    <row r="48" spans="1:9" x14ac:dyDescent="0.2">
      <c r="A48" s="22">
        <f>'PT-Example '!E48</f>
        <v>15</v>
      </c>
      <c r="B48" s="22" t="str">
        <f>'PT-Example '!F48</f>
        <v>PTR</v>
      </c>
      <c r="C48" s="22" t="str">
        <f>'PT-Example '!G48</f>
        <v>DV</v>
      </c>
      <c r="D48" s="22" t="str">
        <f>'PT-Example '!H48</f>
        <v>RTO</v>
      </c>
      <c r="E48" s="148"/>
      <c r="F48" s="161"/>
      <c r="G48" s="150"/>
      <c r="H48" s="147">
        <f>ROUND('PT-Example '!L48,2)</f>
        <v>0</v>
      </c>
    </row>
    <row r="49" spans="1:8" x14ac:dyDescent="0.2">
      <c r="A49" s="22">
        <f>'PT-Example '!E49</f>
        <v>16</v>
      </c>
      <c r="B49" s="22" t="str">
        <f>'PT-Example '!F49</f>
        <v>PTR</v>
      </c>
      <c r="C49" s="22" t="str">
        <f>'PT-Example '!G49</f>
        <v>PT</v>
      </c>
      <c r="D49" s="22" t="str">
        <f>'PT-Example '!H49</f>
        <v>CEER</v>
      </c>
      <c r="E49" s="148"/>
      <c r="F49" s="174">
        <f>ROUND('PT-Example '!L49,2)</f>
        <v>-0.3</v>
      </c>
      <c r="G49" s="150"/>
      <c r="H49" s="148"/>
    </row>
    <row r="50" spans="1:8" x14ac:dyDescent="0.2">
      <c r="A50" s="22">
        <f>'PT-Example '!E50</f>
        <v>17</v>
      </c>
      <c r="B50" s="22" t="str">
        <f>'PT-Example '!F50</f>
        <v>PTR</v>
      </c>
      <c r="C50" s="22" t="str">
        <f>'PT-Example '!G50</f>
        <v>PT</v>
      </c>
      <c r="D50" s="22" t="str">
        <f>'PT-Example '!H50</f>
        <v>EXCAP</v>
      </c>
      <c r="E50" s="148"/>
      <c r="F50" s="161"/>
      <c r="G50" s="150"/>
      <c r="H50" s="147">
        <f>ROUND('PT-Example '!L50,2)</f>
        <v>-210082.57</v>
      </c>
    </row>
    <row r="51" spans="1:8" x14ac:dyDescent="0.2">
      <c r="A51" s="22">
        <f>'PT-Example '!E51</f>
        <v>18</v>
      </c>
      <c r="B51" s="22" t="str">
        <f>'PT-Example '!F51</f>
        <v>PTR</v>
      </c>
      <c r="C51" s="22" t="str">
        <f>'PT-Example '!G51</f>
        <v>PT</v>
      </c>
      <c r="D51" s="22" t="str">
        <f>'PT-Example '!H51</f>
        <v>QCE</v>
      </c>
      <c r="E51" s="148"/>
      <c r="F51" s="161"/>
      <c r="G51" s="150"/>
      <c r="H51" s="147">
        <f>ROUND('PT-Example '!L51,2)</f>
        <v>2389918.88</v>
      </c>
    </row>
    <row r="52" spans="1:8" x14ac:dyDescent="0.2">
      <c r="A52" s="22">
        <f>'PT-Example '!E52</f>
        <v>19</v>
      </c>
      <c r="B52" s="22" t="str">
        <f>'PT-Example '!F52</f>
        <v>PTR</v>
      </c>
      <c r="C52" s="22" t="str">
        <f>'PT-Example '!G52</f>
        <v>DV</v>
      </c>
      <c r="D52" s="22" t="str">
        <f>'PT-Example '!H52</f>
        <v>CAPF</v>
      </c>
      <c r="E52" s="148"/>
      <c r="F52" s="161"/>
      <c r="G52" s="150"/>
      <c r="H52" s="147">
        <f>ROUND('PT-Example '!L52,2)</f>
        <v>768000.12</v>
      </c>
    </row>
    <row r="53" spans="1:8" x14ac:dyDescent="0.2">
      <c r="A53" s="22">
        <f>'PT-Example '!E53</f>
        <v>20</v>
      </c>
      <c r="B53" s="22" t="str">
        <f>'PT-Example '!F53</f>
        <v>PTR</v>
      </c>
      <c r="C53" s="22" t="str">
        <f>'PT-Example '!G53</f>
        <v>PT</v>
      </c>
      <c r="D53" s="22" t="str">
        <f>'PT-Example '!H53</f>
        <v>TPTD</v>
      </c>
      <c r="E53" s="148"/>
      <c r="F53" s="161"/>
      <c r="G53" s="150"/>
      <c r="H53" s="147">
        <f>ROUND('PT-Example '!L53,2)</f>
        <v>3235919.04</v>
      </c>
    </row>
    <row r="54" spans="1:8" x14ac:dyDescent="0.2">
      <c r="A54" s="22">
        <f>'PT-Example '!E54</f>
        <v>21</v>
      </c>
      <c r="B54" s="22" t="str">
        <f>'PT-Example '!F54</f>
        <v>PTR</v>
      </c>
      <c r="C54" s="22" t="str">
        <f>'PT-Example '!G54</f>
        <v>PT</v>
      </c>
      <c r="D54" s="22" t="str">
        <f>'PT-Example '!H54</f>
        <v>PTNR</v>
      </c>
      <c r="E54" s="148"/>
      <c r="F54" s="161"/>
      <c r="G54" s="150"/>
      <c r="H54" s="147">
        <f>ROUND('PT-Example '!L54,2)</f>
        <v>-65151624.439999998</v>
      </c>
    </row>
    <row r="55" spans="1:8" x14ac:dyDescent="0.2">
      <c r="A55" s="22">
        <f>'PT-Example '!E55</f>
        <v>22</v>
      </c>
      <c r="B55" s="22" t="str">
        <f>'PT-Example '!F55</f>
        <v>QCC</v>
      </c>
      <c r="C55" s="22" t="str">
        <f>'PT-Example '!G55</f>
        <v>DV</v>
      </c>
      <c r="D55" s="22" t="str">
        <f>'PT-Example '!H55</f>
        <v>TOI</v>
      </c>
      <c r="E55" s="148"/>
      <c r="F55" s="161"/>
      <c r="G55" s="150"/>
      <c r="H55" s="147">
        <f>ROUND('PT-Example '!L55,2)</f>
        <v>2600001.4500000002</v>
      </c>
    </row>
    <row r="56" spans="1:8" x14ac:dyDescent="0.2">
      <c r="A56" s="22">
        <f>'PT-Example '!E56</f>
        <v>23</v>
      </c>
      <c r="B56" s="22" t="str">
        <f>'PT-Example '!F56</f>
        <v>QCC</v>
      </c>
      <c r="C56" s="22" t="str">
        <f>'PT-Example '!G56</f>
        <v>PT</v>
      </c>
      <c r="D56" s="22" t="str">
        <f>'PT-Example '!H56</f>
        <v>TWIO</v>
      </c>
      <c r="E56" s="147">
        <f>'PT-Example '!L56</f>
        <v>800314.56833333336</v>
      </c>
      <c r="F56" s="161"/>
      <c r="G56" s="150"/>
      <c r="H56" s="148"/>
    </row>
    <row r="57" spans="1:8" x14ac:dyDescent="0.2">
      <c r="A57" s="22">
        <f>'PT-Example '!E57</f>
        <v>24</v>
      </c>
      <c r="B57" s="22" t="str">
        <f>'PT-Example '!F57</f>
        <v>QCC</v>
      </c>
      <c r="C57" s="22" t="str">
        <f>'PT-Example '!G57</f>
        <v>PT</v>
      </c>
      <c r="D57" s="22" t="str">
        <f>'PT-Example '!H57</f>
        <v>TRV</v>
      </c>
      <c r="E57" s="147">
        <f>'PT-Example '!L57</f>
        <v>100039.32666666668</v>
      </c>
      <c r="F57" s="161"/>
      <c r="G57" s="150"/>
      <c r="H57" s="148"/>
    </row>
    <row r="58" spans="1:8" x14ac:dyDescent="0.2">
      <c r="A58" s="22">
        <f>'PT-Example '!E58</f>
        <v>25</v>
      </c>
      <c r="B58" s="22" t="str">
        <f>'PT-Example '!F58</f>
        <v>QCC</v>
      </c>
      <c r="C58" s="22" t="str">
        <f>'PT-Example '!G58</f>
        <v>PT</v>
      </c>
      <c r="D58" s="22" t="str">
        <f>'PT-Example '!H58</f>
        <v>PTWIO</v>
      </c>
      <c r="E58" s="147">
        <f>'PT-Example '!L58</f>
        <v>700275.2416666667</v>
      </c>
      <c r="F58" s="161"/>
      <c r="G58" s="150"/>
      <c r="H58" s="148"/>
    </row>
    <row r="59" spans="1:8" x14ac:dyDescent="0.2">
      <c r="A59" s="22">
        <f>'PT-Example '!E59</f>
        <v>26</v>
      </c>
      <c r="B59" s="22" t="str">
        <f>'PT-Example '!F59</f>
        <v>QCC</v>
      </c>
      <c r="C59" s="22" t="str">
        <f>'PT-Example '!G59</f>
        <v>PT</v>
      </c>
      <c r="D59" s="22" t="str">
        <f>'PT-Example '!H59</f>
        <v>EXCAP</v>
      </c>
      <c r="E59" s="148"/>
      <c r="F59" s="161"/>
      <c r="G59" s="150"/>
      <c r="H59" s="147">
        <f>'PT-Example '!L59</f>
        <v>-210082.57</v>
      </c>
    </row>
    <row r="60" spans="1:8" x14ac:dyDescent="0.2">
      <c r="A60" s="22">
        <f>'PT-Example '!E60</f>
        <v>27</v>
      </c>
      <c r="B60" s="22" t="str">
        <f>'PT-Example '!F60</f>
        <v>QCC</v>
      </c>
      <c r="C60" s="22" t="str">
        <f>'PT-Example '!G60</f>
        <v>PT</v>
      </c>
      <c r="D60" s="22" t="str">
        <f>'PT-Example '!H60</f>
        <v>QCE</v>
      </c>
      <c r="E60" s="148"/>
      <c r="F60" s="161"/>
      <c r="G60" s="150"/>
      <c r="H60" s="147">
        <f>'PT-Example '!L60</f>
        <v>2389918.8800000004</v>
      </c>
    </row>
    <row r="61" spans="1:8" x14ac:dyDescent="0.2">
      <c r="A61" s="22">
        <f>'PT-Example '!E61</f>
        <v>28</v>
      </c>
      <c r="B61" s="22" t="str">
        <f>'PT-Example '!F61</f>
        <v>QCC</v>
      </c>
      <c r="C61" s="22" t="str">
        <f>'PT-Example '!G61</f>
        <v>PT</v>
      </c>
      <c r="D61" s="22" t="str">
        <f>'PT-Example '!H61</f>
        <v>QCECR</v>
      </c>
      <c r="E61" s="148"/>
      <c r="F61" s="161"/>
      <c r="G61" s="150">
        <f>'PT-Example '!L61</f>
        <v>0.2</v>
      </c>
      <c r="H61" s="147"/>
    </row>
    <row r="62" spans="1:8" x14ac:dyDescent="0.2">
      <c r="A62" s="22">
        <f>'PT-Example '!E62</f>
        <v>29</v>
      </c>
      <c r="B62" s="22" t="str">
        <f>'PT-Example '!F62</f>
        <v>QCC</v>
      </c>
      <c r="C62" s="22" t="str">
        <f>'PT-Example '!G62</f>
        <v>PT</v>
      </c>
      <c r="D62" s="22" t="str">
        <f>'PT-Example '!H62</f>
        <v>NPAR</v>
      </c>
      <c r="E62" s="148"/>
      <c r="F62" s="161"/>
      <c r="G62" s="150">
        <f>'PT-Example '!L62</f>
        <v>8.02263E-2</v>
      </c>
      <c r="H62" s="148"/>
    </row>
    <row r="63" spans="1:8" x14ac:dyDescent="0.2">
      <c r="A63" s="22">
        <f>'PT-Example '!E63</f>
        <v>30</v>
      </c>
      <c r="B63" s="22" t="str">
        <f>'PT-Example '!F63</f>
        <v>QCC</v>
      </c>
      <c r="C63" s="22" t="str">
        <f>'PT-Example '!G63</f>
        <v>PT</v>
      </c>
      <c r="D63" s="22" t="str">
        <f>'PT-Example '!H63</f>
        <v>QCEC</v>
      </c>
      <c r="E63" s="148"/>
      <c r="F63" s="161"/>
      <c r="G63" s="150"/>
      <c r="H63" s="147">
        <f>'PT-Example '!L63</f>
        <v>-460234.31</v>
      </c>
    </row>
    <row r="64" spans="1:8" x14ac:dyDescent="0.2">
      <c r="A64" s="22">
        <f>'PT-Example '!E64</f>
        <v>31</v>
      </c>
      <c r="B64" s="22" t="str">
        <f>'PT-Example '!F64</f>
        <v>LCF</v>
      </c>
      <c r="C64" s="22" t="str">
        <f>'PT-Example '!G64</f>
        <v>PT</v>
      </c>
      <c r="D64" s="22" t="str">
        <f>'PT-Example '!H64</f>
        <v>CFCR</v>
      </c>
      <c r="E64" s="148"/>
      <c r="F64" s="161"/>
      <c r="G64" s="175">
        <f>'PT-Example '!L64</f>
        <v>-0.25</v>
      </c>
      <c r="H64" s="148"/>
    </row>
    <row r="65" spans="1:8" x14ac:dyDescent="0.2">
      <c r="A65" s="22">
        <f>'PT-Example '!E65</f>
        <v>32</v>
      </c>
      <c r="B65" s="22" t="str">
        <f>'PT-Example '!F65</f>
        <v>LCF</v>
      </c>
      <c r="C65" s="22" t="str">
        <f>'PT-Example '!G65</f>
        <v>PT</v>
      </c>
      <c r="D65" s="22" t="str">
        <f>'PT-Example '!H65</f>
        <v>PTLB</v>
      </c>
      <c r="E65" s="148"/>
      <c r="F65" s="161"/>
      <c r="G65" s="150"/>
      <c r="H65" s="147">
        <f>'PT-Example '!L65</f>
        <v>0</v>
      </c>
    </row>
    <row r="66" spans="1:8" x14ac:dyDescent="0.2">
      <c r="A66" s="22">
        <f>'PT-Example '!E66</f>
        <v>33</v>
      </c>
      <c r="B66" s="22" t="str">
        <f>'PT-Example '!F66</f>
        <v>LCF</v>
      </c>
      <c r="C66" s="22" t="str">
        <f>'PT-Example '!G66</f>
        <v>PT</v>
      </c>
      <c r="D66" s="22" t="str">
        <f>'PT-Example '!H66</f>
        <v>PTLBC</v>
      </c>
      <c r="E66" s="148"/>
      <c r="F66" s="161"/>
      <c r="G66" s="150"/>
      <c r="H66" s="147">
        <f>'PT-Example '!L66</f>
        <v>0</v>
      </c>
    </row>
    <row r="67" spans="1:8" x14ac:dyDescent="0.2">
      <c r="A67" s="22">
        <f>'PT-Example '!E67</f>
        <v>34</v>
      </c>
      <c r="B67" s="22" t="str">
        <f>'PT-Example '!F67</f>
        <v>TBP</v>
      </c>
      <c r="C67" s="22" t="str">
        <f>'PT-Example '!G67</f>
        <v>PT</v>
      </c>
      <c r="D67" s="22" t="str">
        <f>'PT-Example '!H67</f>
        <v>PTNR</v>
      </c>
      <c r="E67" s="148"/>
      <c r="F67" s="161"/>
      <c r="G67" s="150"/>
      <c r="H67" s="147">
        <f>'PT-Example '!L67</f>
        <v>-65151624.43999999</v>
      </c>
    </row>
    <row r="68" spans="1:8" x14ac:dyDescent="0.2">
      <c r="A68" s="22">
        <f>'PT-Example '!E68</f>
        <v>35</v>
      </c>
      <c r="B68" s="22" t="str">
        <f>'PT-Example '!F68</f>
        <v>TBP</v>
      </c>
      <c r="C68" s="22" t="str">
        <f>'PT-Example '!G68</f>
        <v>PT</v>
      </c>
      <c r="D68" s="22" t="str">
        <f>'PT-Example '!H68</f>
        <v>PTWIO</v>
      </c>
      <c r="E68" s="147">
        <f>'PT-Example '!L68</f>
        <v>700275.2416666667</v>
      </c>
      <c r="F68" s="161"/>
      <c r="G68" s="150"/>
      <c r="H68" s="148"/>
    </row>
    <row r="69" spans="1:8" x14ac:dyDescent="0.2">
      <c r="A69" s="22">
        <f>'PT-Example '!E69</f>
        <v>36</v>
      </c>
      <c r="B69" s="22" t="str">
        <f>'PT-Example '!F69</f>
        <v>TBP</v>
      </c>
      <c r="C69" s="22" t="str">
        <f>'PT-Example '!G69</f>
        <v>PT</v>
      </c>
      <c r="D69" s="22" t="str">
        <f>'PT-Example '!H69</f>
        <v>THR1</v>
      </c>
      <c r="E69" s="148"/>
      <c r="F69" s="161">
        <f>'PT-Example '!L69</f>
        <v>30</v>
      </c>
      <c r="G69" s="150"/>
      <c r="H69" s="148"/>
    </row>
    <row r="70" spans="1:8" x14ac:dyDescent="0.2">
      <c r="A70" s="22">
        <f>'PT-Example '!E70</f>
        <v>37</v>
      </c>
      <c r="B70" s="22" t="str">
        <f>'PT-Example '!F70</f>
        <v>TBP</v>
      </c>
      <c r="C70" s="22" t="str">
        <f>'PT-Example '!G70</f>
        <v>PT</v>
      </c>
      <c r="D70" s="22" t="str">
        <f>'PT-Example '!H70</f>
        <v>MUL1</v>
      </c>
      <c r="E70" s="148"/>
      <c r="F70" s="161"/>
      <c r="G70" s="150">
        <f>'PT-Example '!L70</f>
        <v>4.0000000000000001E-3</v>
      </c>
      <c r="H70" s="148"/>
    </row>
    <row r="71" spans="1:8" x14ac:dyDescent="0.2">
      <c r="A71" s="22">
        <f>'PT-Example '!E71</f>
        <v>38</v>
      </c>
      <c r="B71" s="22" t="str">
        <f>'PT-Example '!F71</f>
        <v>TBP</v>
      </c>
      <c r="C71" s="22" t="str">
        <f>'PT-Example '!G71</f>
        <v>PT</v>
      </c>
      <c r="D71" s="22" t="str">
        <f>'PT-Example '!H71</f>
        <v>THR2</v>
      </c>
      <c r="E71" s="148"/>
      <c r="F71" s="161">
        <f>'PT-Example '!L71</f>
        <v>92.5</v>
      </c>
      <c r="G71" s="154"/>
      <c r="H71" s="148"/>
    </row>
    <row r="72" spans="1:8" x14ac:dyDescent="0.2">
      <c r="A72" s="22">
        <f>'PT-Example '!E72</f>
        <v>39</v>
      </c>
      <c r="B72" s="22" t="str">
        <f>'PT-Example '!F72</f>
        <v>TBP</v>
      </c>
      <c r="C72" s="22" t="str">
        <f>'PT-Example '!G72</f>
        <v>PT</v>
      </c>
      <c r="D72" s="22" t="str">
        <f>'PT-Example '!H72</f>
        <v>MUL2</v>
      </c>
      <c r="E72" s="148"/>
      <c r="F72" s="161"/>
      <c r="G72" s="150">
        <f>'PT-Example '!L72</f>
        <v>1E-3</v>
      </c>
      <c r="H72" s="148"/>
    </row>
    <row r="73" spans="1:8" x14ac:dyDescent="0.2">
      <c r="A73" s="22">
        <f>'PT-Example '!E73</f>
        <v>40</v>
      </c>
      <c r="B73" s="22" t="str">
        <f>'PT-Example '!F74</f>
        <v>TBP</v>
      </c>
      <c r="C73" s="22" t="str">
        <f>'PT-Example '!G73</f>
        <v>PT</v>
      </c>
      <c r="D73" s="22" t="str">
        <f>'PT-Example '!H73</f>
        <v>MPIR</v>
      </c>
      <c r="E73" s="148"/>
      <c r="F73" s="161"/>
      <c r="G73" s="150">
        <f>'PT-Example '!L73</f>
        <v>0.5</v>
      </c>
      <c r="H73" s="148"/>
    </row>
    <row r="74" spans="1:8" x14ac:dyDescent="0.2">
      <c r="A74" s="22">
        <f>'PT-Example '!E74</f>
        <v>41</v>
      </c>
      <c r="B74" s="22" t="str">
        <f>'PT-Example '!F74</f>
        <v>TBP</v>
      </c>
      <c r="C74" s="22" t="str">
        <f>'PT-Example '!G74</f>
        <v>DV</v>
      </c>
      <c r="D74" s="22" t="str">
        <f>'PT-Example '!H74</f>
        <v>BEGB</v>
      </c>
      <c r="E74" s="148"/>
      <c r="F74" s="161"/>
      <c r="G74" s="150"/>
      <c r="H74" s="147">
        <f>'PT-Example '!L74</f>
        <v>0</v>
      </c>
    </row>
    <row r="75" spans="1:8" x14ac:dyDescent="0.2">
      <c r="A75" s="22">
        <f>'PT-Example '!E75</f>
        <v>42</v>
      </c>
      <c r="B75" s="22" t="str">
        <f>'PT-Example '!F75</f>
        <v>TBP</v>
      </c>
      <c r="C75" s="22" t="str">
        <f>'PT-Example '!G75</f>
        <v>NP</v>
      </c>
      <c r="D75" s="22" t="str">
        <f>'PT-Example '!H75</f>
        <v>NPR</v>
      </c>
      <c r="E75" s="148"/>
      <c r="F75" s="161"/>
      <c r="G75" s="150">
        <f>'PT-Example '!L75</f>
        <v>0.4</v>
      </c>
      <c r="H75" s="148"/>
    </row>
    <row r="76" spans="1:8" x14ac:dyDescent="0.2">
      <c r="A76" s="22">
        <f>'PT-Example '!E76</f>
        <v>43</v>
      </c>
      <c r="B76" s="22" t="str">
        <f>'PT-Example '!F76</f>
        <v>TBP</v>
      </c>
      <c r="C76" s="22" t="str">
        <f>'PT-Example '!G76</f>
        <v>PT</v>
      </c>
      <c r="D76" s="22" t="str">
        <f>'PT-Example '!H76</f>
        <v>BTR</v>
      </c>
      <c r="E76" s="148"/>
      <c r="F76" s="161"/>
      <c r="G76" s="150">
        <f>'PT-Example '!L76</f>
        <v>0.25</v>
      </c>
      <c r="H76" s="148"/>
    </row>
    <row r="77" spans="1:8" x14ac:dyDescent="0.2">
      <c r="A77" s="22">
        <f>'PT-Example '!E77</f>
        <v>44</v>
      </c>
      <c r="B77" s="22" t="str">
        <f>'PT-Example '!F77</f>
        <v>TBP</v>
      </c>
      <c r="C77" s="22" t="str">
        <f>'PT-Example '!G77</f>
        <v>PT</v>
      </c>
      <c r="D77" s="22" t="str">
        <f>'PT-Example '!H77</f>
        <v>POS</v>
      </c>
      <c r="E77" s="148"/>
      <c r="F77" s="161">
        <f>'PT-Example '!L77</f>
        <v>1</v>
      </c>
      <c r="G77" s="150"/>
      <c r="H77" s="148"/>
    </row>
    <row r="78" spans="1:8" x14ac:dyDescent="0.2">
      <c r="A78" s="22">
        <f>'PT-Example '!E78</f>
        <v>45</v>
      </c>
      <c r="B78" s="22" t="str">
        <f>'PT-Example '!F78</f>
        <v>TBP</v>
      </c>
      <c r="C78" s="22" t="str">
        <f>'PT-Example '!G78</f>
        <v>PT</v>
      </c>
      <c r="D78" s="22" t="str">
        <f>'PT-Example '!H78</f>
        <v>NPDF</v>
      </c>
      <c r="E78" s="148"/>
      <c r="F78" s="161"/>
      <c r="G78" s="150">
        <f>'PT-Example '!L78</f>
        <v>0.66666669999999995</v>
      </c>
      <c r="H78" s="148"/>
    </row>
    <row r="79" spans="1:8" x14ac:dyDescent="0.2">
      <c r="A79" s="22">
        <f>'PT-Example '!E79</f>
        <v>46</v>
      </c>
      <c r="B79" s="22" t="str">
        <f>'PT-Example '!F79</f>
        <v>TBP</v>
      </c>
      <c r="C79" s="22" t="str">
        <f>'PT-Example '!G79</f>
        <v>PT</v>
      </c>
      <c r="D79" s="22" t="str">
        <f>'PT-Example '!H79</f>
        <v>PTNRB</v>
      </c>
      <c r="E79" s="148"/>
      <c r="F79" s="131"/>
      <c r="G79" s="150"/>
      <c r="H79" s="147">
        <f>'PT-Example '!L79</f>
        <v>62.02</v>
      </c>
    </row>
    <row r="80" spans="1:8" x14ac:dyDescent="0.2">
      <c r="A80" s="22">
        <f>'PT-Example '!E80</f>
        <v>47</v>
      </c>
      <c r="B80" s="22" t="str">
        <f>'PT-Example '!F80</f>
        <v>TBP</v>
      </c>
      <c r="C80" s="22" t="str">
        <f>'PT-Example '!G80</f>
        <v>PT</v>
      </c>
      <c r="D80" s="22" t="str">
        <f>'PT-Example '!H80</f>
        <v>PTPIR</v>
      </c>
      <c r="E80" s="148"/>
      <c r="F80" s="161"/>
      <c r="G80" s="150">
        <f>'PT-Example '!L80</f>
        <v>0.12808</v>
      </c>
      <c r="H80" s="148"/>
    </row>
    <row r="81" spans="1:8" x14ac:dyDescent="0.2">
      <c r="A81" s="22">
        <f>'PT-Example '!E82</f>
        <v>48</v>
      </c>
      <c r="B81" s="22" t="str">
        <f>'PT-Example '!F82</f>
        <v>TBP</v>
      </c>
      <c r="C81" s="22" t="str">
        <f>'PT-Example '!G82</f>
        <v>PT</v>
      </c>
      <c r="D81" s="22" t="str">
        <f>'PT-Example '!H82</f>
        <v>PTPI</v>
      </c>
      <c r="E81" s="148"/>
      <c r="F81" s="161"/>
      <c r="G81" s="150"/>
      <c r="H81" s="147">
        <f>'PT-Example '!L82</f>
        <v>8344620.0599999996</v>
      </c>
    </row>
    <row r="82" spans="1:8" x14ac:dyDescent="0.2">
      <c r="A82" s="22">
        <f>'PT-Example '!E83</f>
        <v>49</v>
      </c>
      <c r="B82" s="22" t="str">
        <f>'PT-Example '!F83</f>
        <v>PTB</v>
      </c>
      <c r="C82" s="22" t="str">
        <f>'PT-Example '!G83</f>
        <v>PT</v>
      </c>
      <c r="D82" s="22" t="str">
        <f>'PT-Example '!H83</f>
        <v>PTNR</v>
      </c>
      <c r="E82" s="148"/>
      <c r="F82" s="161"/>
      <c r="G82" s="150"/>
      <c r="H82" s="147">
        <f>'PT-Example '!L83</f>
        <v>-65151624.43999999</v>
      </c>
    </row>
    <row r="83" spans="1:8" x14ac:dyDescent="0.2">
      <c r="A83" s="22">
        <f>'PT-Example '!E84</f>
        <v>50</v>
      </c>
      <c r="B83" s="22" t="str">
        <f>'PT-Example '!F84</f>
        <v>PTB</v>
      </c>
      <c r="C83" s="22" t="str">
        <f>'PT-Example '!G84</f>
        <v>PT</v>
      </c>
      <c r="D83" s="22" t="str">
        <f>'PT-Example '!H84</f>
        <v>PTSE</v>
      </c>
      <c r="E83" s="148"/>
      <c r="F83" s="160"/>
      <c r="G83" s="150"/>
      <c r="H83" s="147">
        <f>'PT-Example '!L84</f>
        <v>10858604.619999999</v>
      </c>
    </row>
    <row r="84" spans="1:8" x14ac:dyDescent="0.2">
      <c r="A84" s="22">
        <f>'PT-Example '!E85</f>
        <v>51</v>
      </c>
      <c r="B84" s="22" t="str">
        <f>'PT-Example '!F85</f>
        <v>PTB</v>
      </c>
      <c r="C84" s="22" t="str">
        <f>'PT-Example '!G85</f>
        <v>PT</v>
      </c>
      <c r="D84" s="22" t="str">
        <f>'PT-Example '!H85</f>
        <v>GVPOP</v>
      </c>
      <c r="E84" s="148"/>
      <c r="F84" s="160"/>
      <c r="G84" s="150"/>
      <c r="H84" s="147">
        <f>'PT-Example '!L85</f>
        <v>-68398950.809999987</v>
      </c>
    </row>
    <row r="85" spans="1:8" x14ac:dyDescent="0.2">
      <c r="A85" s="22">
        <f>'PT-Example '!E86</f>
        <v>52</v>
      </c>
      <c r="B85" s="22" t="str">
        <f>'PT-Example '!F86</f>
        <v>PTB</v>
      </c>
      <c r="C85" s="22" t="str">
        <f>'PT-Example '!G86</f>
        <v>PT</v>
      </c>
      <c r="D85" s="22" t="str">
        <f>'PT-Example '!H86</f>
        <v>ANS</v>
      </c>
      <c r="E85" s="148"/>
      <c r="F85" s="161">
        <f>'PT-Example '!L86</f>
        <v>107.297</v>
      </c>
      <c r="G85" s="150"/>
      <c r="H85" s="147"/>
    </row>
    <row r="86" spans="1:8" x14ac:dyDescent="0.2">
      <c r="A86" s="22">
        <f>'PT-Example '!E87</f>
        <v>53</v>
      </c>
      <c r="B86" s="22" t="str">
        <f>'PT-Example '!F87</f>
        <v>PTB</v>
      </c>
      <c r="C86" s="22" t="str">
        <f>'PT-Example '!G87</f>
        <v>PT</v>
      </c>
      <c r="D86" s="22" t="str">
        <f>'PT-Example '!H87</f>
        <v>PTMTR</v>
      </c>
      <c r="E86" s="148"/>
      <c r="F86" s="160"/>
      <c r="G86" s="150">
        <f>'PT-Example '!L87</f>
        <v>0.04</v>
      </c>
      <c r="H86" s="148"/>
    </row>
    <row r="87" spans="1:8" x14ac:dyDescent="0.2">
      <c r="A87" s="22">
        <f>'PT-Example '!E89</f>
        <v>54</v>
      </c>
      <c r="B87" s="22" t="str">
        <f>'PT-Example '!F89</f>
        <v>PTB</v>
      </c>
      <c r="C87" s="22" t="str">
        <f>'PT-Example '!G89</f>
        <v>PT</v>
      </c>
      <c r="D87" s="22" t="str">
        <f>'PT-Example '!H89</f>
        <v>PTMT</v>
      </c>
      <c r="E87" s="148"/>
      <c r="F87" s="160"/>
      <c r="G87" s="150"/>
      <c r="H87" s="147">
        <f>'PT-Example '!L89</f>
        <v>2735958.03</v>
      </c>
    </row>
    <row r="88" spans="1:8" x14ac:dyDescent="0.2">
      <c r="A88" s="22">
        <f>'PT-Example '!E90</f>
        <v>55</v>
      </c>
      <c r="B88" s="22" t="str">
        <f>'PT-Example '!F90</f>
        <v>PTB</v>
      </c>
      <c r="C88" s="22" t="str">
        <f>'PT-Example '!G90</f>
        <v>PT</v>
      </c>
      <c r="D88" s="22" t="str">
        <f>'PT-Example '!H90</f>
        <v>PTBC</v>
      </c>
      <c r="E88" s="148"/>
      <c r="F88" s="160"/>
      <c r="G88" s="150"/>
      <c r="H88" s="147">
        <f>'PT-Example '!L90</f>
        <v>19203224.68</v>
      </c>
    </row>
    <row r="89" spans="1:8" x14ac:dyDescent="0.2">
      <c r="A89" s="22">
        <f>'PT-Example '!E91</f>
        <v>56</v>
      </c>
      <c r="B89" s="22" t="str">
        <f>'PT-Example '!F91</f>
        <v>SPC</v>
      </c>
      <c r="C89" s="22" t="str">
        <f>'PT-Example '!G91</f>
        <v>PT</v>
      </c>
      <c r="D89" s="22" t="str">
        <f>'PT-Example '!H91</f>
        <v>DOM</v>
      </c>
      <c r="E89" s="148"/>
      <c r="F89" s="161">
        <f>'PT-Example '!L91</f>
        <v>31</v>
      </c>
      <c r="G89" s="150"/>
      <c r="H89" s="22"/>
    </row>
    <row r="90" spans="1:8" x14ac:dyDescent="0.2">
      <c r="A90" s="22">
        <f>'PT-Example '!E92</f>
        <v>57</v>
      </c>
      <c r="B90" s="22" t="str">
        <f>'PT-Example '!F92</f>
        <v>SPC</v>
      </c>
      <c r="C90" s="22" t="str">
        <f>'PT-Example '!G92</f>
        <v>PT</v>
      </c>
      <c r="D90" s="22" t="str">
        <f>'PT-Example '!H92</f>
        <v>SWTPD</v>
      </c>
      <c r="E90" s="167">
        <f>'PT-Example '!L92</f>
        <v>90000.25</v>
      </c>
      <c r="F90" s="160"/>
      <c r="G90" s="150"/>
      <c r="H90" s="22"/>
    </row>
    <row r="91" spans="1:8" x14ac:dyDescent="0.2">
      <c r="A91" s="22">
        <f>'PT-Example '!E93</f>
        <v>58</v>
      </c>
      <c r="B91" s="22" t="str">
        <f>'PT-Example '!F93</f>
        <v>SPC</v>
      </c>
      <c r="C91" s="22" t="str">
        <f>'PT-Example '!G93</f>
        <v>PT</v>
      </c>
      <c r="D91" s="22" t="str">
        <f>'PT-Example '!H93</f>
        <v>PTTSPC</v>
      </c>
      <c r="E91" s="148"/>
      <c r="F91" s="160"/>
      <c r="G91" s="150"/>
      <c r="H91" s="147">
        <f>'PT-Example '!L93</f>
        <v>-199995</v>
      </c>
    </row>
    <row r="92" spans="1:8" x14ac:dyDescent="0.2">
      <c r="A92" s="22">
        <f>'PT-Example '!E94</f>
        <v>59</v>
      </c>
      <c r="B92" s="22" t="str">
        <f>'PT-Example '!F94</f>
        <v>SPC</v>
      </c>
      <c r="C92" s="22" t="str">
        <f>'PT-Example '!G94</f>
        <v>PT</v>
      </c>
      <c r="D92" s="22" t="str">
        <f>'PT-Example '!H94</f>
        <v>PWIOD</v>
      </c>
      <c r="E92" s="147">
        <f>'PT-Example '!L94</f>
        <v>22589.52</v>
      </c>
      <c r="F92" s="161"/>
      <c r="G92" s="150"/>
      <c r="H92" s="148"/>
    </row>
    <row r="93" spans="1:8" x14ac:dyDescent="0.2">
      <c r="A93" s="22">
        <f>'PT-Example '!E95</f>
        <v>60</v>
      </c>
      <c r="B93" s="22" t="str">
        <f>'PT-Example '!F95</f>
        <v>SPC</v>
      </c>
      <c r="C93" s="22" t="str">
        <f>'PT-Example '!G95</f>
        <v>PT</v>
      </c>
      <c r="D93" s="22" t="str">
        <f>'PT-Example '!H95</f>
        <v>PTSPC</v>
      </c>
      <c r="E93" s="148"/>
      <c r="F93" s="160"/>
      <c r="G93" s="150"/>
      <c r="H93" s="147">
        <f>'PT-Example '!L95</f>
        <v>-50197.54</v>
      </c>
    </row>
    <row r="94" spans="1:8" x14ac:dyDescent="0.2">
      <c r="A94" s="22">
        <f>'PT-Example '!E96</f>
        <v>61</v>
      </c>
      <c r="B94" s="22" t="str">
        <f>'PT-Example '!F96</f>
        <v>PTL</v>
      </c>
      <c r="C94" s="22" t="str">
        <f>'PT-Example '!G96</f>
        <v>PT</v>
      </c>
      <c r="D94" s="22" t="str">
        <f>'PT-Example '!H96</f>
        <v>PTLA</v>
      </c>
      <c r="E94" s="148"/>
      <c r="F94" s="160"/>
      <c r="G94" s="150"/>
      <c r="H94" s="147">
        <f>'PT-Example '!L96</f>
        <v>19153027.140000001</v>
      </c>
    </row>
    <row r="95" spans="1:8" x14ac:dyDescent="0.2">
      <c r="A95" s="22">
        <f>'PT-Example '!E97</f>
        <v>62</v>
      </c>
      <c r="B95" s="22" t="str">
        <f>'PT-Example '!F97</f>
        <v>LCC</v>
      </c>
      <c r="C95" s="22" t="str">
        <f>'PT-Example '!G97</f>
        <v>PT</v>
      </c>
      <c r="D95" s="22" t="str">
        <f>'PT-Example '!H97</f>
        <v xml:space="preserve">PTLR </v>
      </c>
      <c r="E95" s="148"/>
      <c r="F95" s="160"/>
      <c r="G95" s="150"/>
      <c r="H95" s="147">
        <f>'PT-Example '!L97</f>
        <v>0</v>
      </c>
    </row>
    <row r="96" spans="1:8" x14ac:dyDescent="0.2">
      <c r="A96" s="22">
        <f>'PT-Example '!E98</f>
        <v>63</v>
      </c>
      <c r="B96" s="22" t="str">
        <f>'PT-Example '!F98</f>
        <v>LCC</v>
      </c>
      <c r="C96" s="22" t="str">
        <f>'PT-Example '!G98</f>
        <v>PT</v>
      </c>
      <c r="D96" s="22" t="str">
        <f>'PT-Example '!H98</f>
        <v>PTLRC</v>
      </c>
      <c r="E96" s="148"/>
      <c r="F96" s="160"/>
      <c r="G96" s="150"/>
      <c r="H96" s="147">
        <f>'PT-Example '!L98</f>
        <v>0</v>
      </c>
    </row>
    <row r="97" spans="1:8" x14ac:dyDescent="0.2">
      <c r="A97" s="22">
        <f>'PT-Example '!E99</f>
        <v>64</v>
      </c>
      <c r="B97" s="22" t="str">
        <f>'PT-Example '!F99</f>
        <v>PPC</v>
      </c>
      <c r="C97" s="22" t="str">
        <f>'PT-Example '!G99</f>
        <v>PT</v>
      </c>
      <c r="D97" s="22" t="str">
        <f>'PT-Example '!H99</f>
        <v>PTDC</v>
      </c>
      <c r="E97" s="148"/>
      <c r="F97" s="160"/>
      <c r="G97" s="150"/>
      <c r="H97" s="147">
        <f>'PT-Example '!L99</f>
        <v>-460234.31</v>
      </c>
    </row>
    <row r="98" spans="1:8" x14ac:dyDescent="0.2">
      <c r="H98"/>
    </row>
    <row r="99" spans="1:8" x14ac:dyDescent="0.2">
      <c r="H99"/>
    </row>
    <row r="100" spans="1:8" x14ac:dyDescent="0.2">
      <c r="H100"/>
    </row>
    <row r="101" spans="1:8" x14ac:dyDescent="0.2">
      <c r="H101"/>
    </row>
    <row r="102" spans="1:8" x14ac:dyDescent="0.2">
      <c r="H102"/>
    </row>
    <row r="103" spans="1:8" x14ac:dyDescent="0.2">
      <c r="H103"/>
    </row>
    <row r="104" spans="1:8" x14ac:dyDescent="0.2">
      <c r="H104"/>
    </row>
    <row r="105" spans="1:8" x14ac:dyDescent="0.2">
      <c r="H105"/>
    </row>
    <row r="106" spans="1:8" x14ac:dyDescent="0.2">
      <c r="H106"/>
    </row>
    <row r="107" spans="1:8" x14ac:dyDescent="0.2">
      <c r="H107"/>
    </row>
    <row r="108" spans="1:8" x14ac:dyDescent="0.2">
      <c r="H108"/>
    </row>
    <row r="109" spans="1:8" x14ac:dyDescent="0.2">
      <c r="H109"/>
    </row>
    <row r="110" spans="1:8" x14ac:dyDescent="0.2">
      <c r="H110"/>
    </row>
    <row r="111" spans="1:8" x14ac:dyDescent="0.2">
      <c r="H111"/>
    </row>
    <row r="112" spans="1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</sheetData>
  <printOptions gridLines="1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27"/>
  <sheetViews>
    <sheetView topLeftCell="G1" zoomScaleNormal="100" workbookViewId="0">
      <selection activeCell="F34" sqref="F34"/>
    </sheetView>
  </sheetViews>
  <sheetFormatPr defaultRowHeight="12.75" x14ac:dyDescent="0.2"/>
  <cols>
    <col min="1" max="1" width="3" style="29" bestFit="1" customWidth="1"/>
    <col min="2" max="2" width="34.140625" style="29" bestFit="1" customWidth="1"/>
    <col min="3" max="3" width="10.85546875" style="29" bestFit="1" customWidth="1"/>
    <col min="4" max="4" width="10" style="29" customWidth="1"/>
    <col min="5" max="5" width="4.28515625" style="29" customWidth="1"/>
    <col min="6" max="6" width="12.7109375" style="29" bestFit="1" customWidth="1"/>
    <col min="7" max="7" width="12.7109375" style="29" customWidth="1"/>
    <col min="8" max="8" width="14.7109375" style="58" customWidth="1"/>
    <col min="9" max="9" width="38.85546875" style="29" customWidth="1"/>
    <col min="10" max="10" width="45.85546875" style="29" customWidth="1"/>
    <col min="11" max="11" width="19" style="29" customWidth="1"/>
    <col min="12" max="12" width="15.5703125" style="29" customWidth="1"/>
    <col min="13" max="13" width="13.85546875" style="132" bestFit="1" customWidth="1"/>
    <col min="14" max="14" width="9.7109375" style="29" customWidth="1"/>
    <col min="15" max="16384" width="9.140625" style="29"/>
  </cols>
  <sheetData>
    <row r="1" spans="2:12" ht="41.25" customHeight="1" thickBot="1" x14ac:dyDescent="0.3">
      <c r="B1" s="28"/>
      <c r="D1" s="30"/>
      <c r="E1" s="14" t="str">
        <f>' VV - Example'!A1</f>
        <v>ALASKA DNR - OIL &amp; GAS  V 1.201212</v>
      </c>
      <c r="F1" s="31"/>
      <c r="G1" s="31"/>
      <c r="H1" s="32"/>
      <c r="J1"/>
      <c r="K1"/>
      <c r="L1"/>
    </row>
    <row r="2" spans="2:12" ht="15.75" x14ac:dyDescent="0.25">
      <c r="B2" s="277" t="s">
        <v>373</v>
      </c>
      <c r="C2" s="278" t="s">
        <v>41</v>
      </c>
      <c r="D2" s="279" t="s">
        <v>42</v>
      </c>
      <c r="E2" s="33" t="s">
        <v>39</v>
      </c>
      <c r="F2" s="34"/>
      <c r="G2" s="34"/>
      <c r="H2" s="35" t="s">
        <v>45</v>
      </c>
      <c r="I2" s="34" t="s">
        <v>38</v>
      </c>
      <c r="J2" s="35"/>
      <c r="K2" s="35"/>
      <c r="L2" s="35"/>
    </row>
    <row r="3" spans="2:12" x14ac:dyDescent="0.2">
      <c r="B3" s="280" t="s">
        <v>44</v>
      </c>
      <c r="C3" s="164">
        <v>0.09</v>
      </c>
      <c r="D3" s="281" t="s">
        <v>374</v>
      </c>
      <c r="E3" s="33" t="s">
        <v>33</v>
      </c>
      <c r="F3" s="34"/>
      <c r="G3" s="34"/>
      <c r="H3" s="35" t="s">
        <v>43</v>
      </c>
      <c r="I3" s="34" t="s">
        <v>36</v>
      </c>
      <c r="J3" s="35"/>
      <c r="K3" s="35"/>
      <c r="L3" s="35"/>
    </row>
    <row r="4" spans="2:12" x14ac:dyDescent="0.2">
      <c r="B4" s="282" t="s">
        <v>46</v>
      </c>
      <c r="C4" s="164">
        <v>0.03</v>
      </c>
      <c r="D4" s="281" t="s">
        <v>375</v>
      </c>
      <c r="E4" s="36" t="s">
        <v>40</v>
      </c>
      <c r="F4" s="37"/>
      <c r="G4" s="37"/>
      <c r="H4" s="35"/>
      <c r="I4" s="38" t="str">
        <f>' VV - Example'!G4</f>
        <v>REG</v>
      </c>
      <c r="J4" s="39"/>
      <c r="K4" s="35"/>
      <c r="L4" s="35"/>
    </row>
    <row r="5" spans="2:12" x14ac:dyDescent="0.2">
      <c r="B5" s="282" t="s">
        <v>333</v>
      </c>
      <c r="C5" s="176">
        <v>-0.3</v>
      </c>
      <c r="D5" s="283" t="s">
        <v>47</v>
      </c>
      <c r="E5" s="33" t="s">
        <v>14</v>
      </c>
      <c r="F5" s="34"/>
      <c r="G5" s="34"/>
      <c r="H5" s="34"/>
      <c r="I5" s="38" t="str">
        <f>' VV - Example'!G5</f>
        <v>000012345</v>
      </c>
      <c r="J5" s="35"/>
      <c r="K5" s="35"/>
      <c r="L5" s="35"/>
    </row>
    <row r="6" spans="2:12" x14ac:dyDescent="0.2">
      <c r="B6" s="280" t="s">
        <v>48</v>
      </c>
      <c r="C6" s="284">
        <v>0.2</v>
      </c>
      <c r="D6" s="285" t="s">
        <v>331</v>
      </c>
      <c r="E6" s="33"/>
      <c r="F6" s="34"/>
      <c r="G6" s="34"/>
      <c r="H6" s="34"/>
      <c r="I6" s="35"/>
      <c r="J6" s="35"/>
      <c r="K6" s="35"/>
      <c r="L6" s="35"/>
    </row>
    <row r="7" spans="2:12" x14ac:dyDescent="0.2">
      <c r="B7" s="286" t="s">
        <v>414</v>
      </c>
      <c r="C7" s="287">
        <v>-0.2</v>
      </c>
      <c r="D7" s="356" t="s">
        <v>330</v>
      </c>
      <c r="E7" s="33" t="s">
        <v>15</v>
      </c>
      <c r="F7" s="34"/>
      <c r="G7" s="34"/>
      <c r="H7" s="34"/>
      <c r="I7" s="124">
        <f>' VV - Example'!G7</f>
        <v>41183</v>
      </c>
      <c r="J7" s="35"/>
      <c r="K7" s="35"/>
      <c r="L7" s="35"/>
    </row>
    <row r="8" spans="2:12" x14ac:dyDescent="0.2">
      <c r="B8" s="286" t="s">
        <v>415</v>
      </c>
      <c r="C8" s="287">
        <v>-0.25</v>
      </c>
      <c r="D8" s="356"/>
      <c r="E8" s="33" t="s">
        <v>17</v>
      </c>
      <c r="F8" s="34"/>
      <c r="G8" s="34"/>
      <c r="H8" s="34"/>
      <c r="I8" s="38" t="str">
        <f>' VV - Example'!G8</f>
        <v>00</v>
      </c>
      <c r="J8" s="35"/>
      <c r="K8" s="35"/>
      <c r="L8" s="35"/>
    </row>
    <row r="9" spans="2:12" x14ac:dyDescent="0.2">
      <c r="B9" s="288" t="s">
        <v>416</v>
      </c>
      <c r="C9" s="289">
        <v>0.22500000000000001</v>
      </c>
      <c r="D9" s="357" t="s">
        <v>146</v>
      </c>
      <c r="E9" s="33" t="s">
        <v>5</v>
      </c>
      <c r="F9" s="34"/>
      <c r="G9" s="34"/>
      <c r="H9" s="34"/>
      <c r="I9" s="124">
        <f>' VV - Example'!G9</f>
        <v>41244</v>
      </c>
      <c r="J9" s="35"/>
      <c r="K9" s="35"/>
      <c r="L9" s="35"/>
    </row>
    <row r="10" spans="2:12" x14ac:dyDescent="0.2">
      <c r="B10" s="288" t="s">
        <v>417</v>
      </c>
      <c r="C10" s="289">
        <v>0.25</v>
      </c>
      <c r="D10" s="357"/>
      <c r="E10" s="33" t="s">
        <v>16</v>
      </c>
      <c r="F10" s="34"/>
      <c r="G10" s="34"/>
      <c r="H10" s="34"/>
      <c r="I10" s="38" t="str">
        <f>' VV - Example'!G10</f>
        <v>000012345N12201200</v>
      </c>
      <c r="J10" s="35"/>
      <c r="K10" s="35"/>
      <c r="L10" s="35"/>
    </row>
    <row r="11" spans="2:12" x14ac:dyDescent="0.2">
      <c r="B11" s="290" t="s">
        <v>50</v>
      </c>
      <c r="C11" s="291">
        <v>39264</v>
      </c>
      <c r="D11" s="292" t="s">
        <v>51</v>
      </c>
      <c r="E11" s="33" t="s">
        <v>13</v>
      </c>
      <c r="F11" s="34"/>
      <c r="G11" s="34"/>
      <c r="H11" s="34"/>
      <c r="I11" s="124">
        <f>' VV - Example'!G11</f>
        <v>41265</v>
      </c>
      <c r="J11" s="35"/>
      <c r="K11" s="35"/>
      <c r="L11" s="35"/>
    </row>
    <row r="12" spans="2:12" x14ac:dyDescent="0.2">
      <c r="B12" s="293"/>
      <c r="C12" s="40"/>
      <c r="D12" s="294"/>
      <c r="E12" s="33" t="s">
        <v>7</v>
      </c>
      <c r="F12" s="34"/>
      <c r="G12" s="34"/>
      <c r="H12" s="34"/>
      <c r="I12" s="38" t="str">
        <f>' VV - Example'!G12</f>
        <v>ADL #</v>
      </c>
      <c r="J12" s="35"/>
      <c r="K12" s="35"/>
      <c r="L12" s="35"/>
    </row>
    <row r="13" spans="2:12" x14ac:dyDescent="0.2">
      <c r="B13" s="295" t="s">
        <v>52</v>
      </c>
      <c r="C13" s="296">
        <v>40</v>
      </c>
      <c r="D13" s="358" t="s">
        <v>137</v>
      </c>
      <c r="E13" s="33"/>
      <c r="F13" s="34"/>
      <c r="G13" s="34"/>
      <c r="H13" s="34"/>
      <c r="I13" s="34"/>
      <c r="J13" s="35"/>
      <c r="K13" s="35"/>
      <c r="L13" s="35"/>
    </row>
    <row r="14" spans="2:12" x14ac:dyDescent="0.2">
      <c r="B14" s="295" t="s">
        <v>53</v>
      </c>
      <c r="C14" s="296">
        <v>30</v>
      </c>
      <c r="D14" s="358"/>
      <c r="E14" s="33"/>
      <c r="F14" s="34"/>
      <c r="G14" s="34"/>
      <c r="H14" s="34"/>
      <c r="I14" s="34"/>
      <c r="J14" s="35"/>
      <c r="K14" s="35"/>
      <c r="L14" s="35"/>
    </row>
    <row r="15" spans="2:12" x14ac:dyDescent="0.2">
      <c r="B15" s="295" t="s">
        <v>54</v>
      </c>
      <c r="C15" s="164">
        <v>2.5000000000000001E-3</v>
      </c>
      <c r="D15" s="359" t="s">
        <v>139</v>
      </c>
      <c r="E15" s="33"/>
      <c r="F15" s="34"/>
      <c r="G15" s="34"/>
      <c r="H15" s="34"/>
      <c r="I15" s="34"/>
      <c r="J15" s="35"/>
      <c r="K15" s="35"/>
      <c r="L15" s="35"/>
    </row>
    <row r="16" spans="2:12" x14ac:dyDescent="0.2">
      <c r="B16" s="295" t="s">
        <v>55</v>
      </c>
      <c r="C16" s="164">
        <v>4.0000000000000001E-3</v>
      </c>
      <c r="D16" s="359"/>
      <c r="E16" s="33"/>
      <c r="F16" s="34"/>
      <c r="G16" s="34"/>
      <c r="H16" s="34"/>
      <c r="I16" s="34"/>
      <c r="J16" s="35"/>
      <c r="K16" s="35"/>
      <c r="L16" s="35"/>
    </row>
    <row r="17" spans="2:12" x14ac:dyDescent="0.2">
      <c r="B17" s="295" t="s">
        <v>56</v>
      </c>
      <c r="C17" s="296">
        <v>92.5</v>
      </c>
      <c r="D17" s="297" t="s">
        <v>57</v>
      </c>
      <c r="E17" s="33"/>
      <c r="F17" s="34"/>
      <c r="G17" s="34"/>
      <c r="H17" s="34"/>
      <c r="I17" s="34"/>
      <c r="J17" s="35"/>
      <c r="K17" s="35"/>
      <c r="L17" s="35"/>
    </row>
    <row r="18" spans="2:12" x14ac:dyDescent="0.2">
      <c r="B18" s="295" t="s">
        <v>58</v>
      </c>
      <c r="C18" s="164">
        <v>1E-3</v>
      </c>
      <c r="D18" s="298" t="s">
        <v>59</v>
      </c>
      <c r="E18" s="43"/>
      <c r="F18" s="44"/>
      <c r="G18" s="44"/>
      <c r="H18" s="44"/>
      <c r="I18" s="44"/>
      <c r="J18" s="35"/>
      <c r="K18" s="35"/>
      <c r="L18" s="35"/>
    </row>
    <row r="19" spans="2:12" x14ac:dyDescent="0.2">
      <c r="B19" s="299" t="s">
        <v>60</v>
      </c>
      <c r="C19" s="164">
        <v>0.25</v>
      </c>
      <c r="D19" s="353" t="s">
        <v>326</v>
      </c>
      <c r="E19" s="33" t="s">
        <v>22</v>
      </c>
      <c r="F19" s="34"/>
      <c r="G19" s="34"/>
      <c r="H19" s="34"/>
      <c r="I19" s="38" t="str">
        <f>' VV - Example'!G19</f>
        <v>XYZ Company</v>
      </c>
      <c r="J19" s="35"/>
      <c r="K19" s="35"/>
      <c r="L19" s="35"/>
    </row>
    <row r="20" spans="2:12" x14ac:dyDescent="0.2">
      <c r="B20" s="300" t="s">
        <v>61</v>
      </c>
      <c r="C20" s="164">
        <v>0.5</v>
      </c>
      <c r="D20" s="353"/>
      <c r="E20" s="33"/>
      <c r="F20" s="34"/>
      <c r="G20" s="34"/>
      <c r="H20" s="34"/>
      <c r="I20" s="34"/>
      <c r="J20" s="35"/>
      <c r="K20" s="35"/>
      <c r="L20" s="35"/>
    </row>
    <row r="21" spans="2:12" x14ac:dyDescent="0.2">
      <c r="B21" s="301"/>
      <c r="C21" s="50"/>
      <c r="D21" s="302"/>
      <c r="E21" s="33" t="s">
        <v>0</v>
      </c>
      <c r="F21" s="34"/>
      <c r="G21" s="34"/>
      <c r="H21" s="34"/>
      <c r="I21" s="38" t="str">
        <f>' VV - Example'!G21</f>
        <v>Enter Data</v>
      </c>
      <c r="J21" s="35"/>
      <c r="K21" s="35"/>
      <c r="L21" s="35"/>
    </row>
    <row r="22" spans="2:12" x14ac:dyDescent="0.2">
      <c r="B22" s="303" t="s">
        <v>62</v>
      </c>
      <c r="C22" s="304">
        <v>1.03</v>
      </c>
      <c r="D22" s="305" t="s">
        <v>63</v>
      </c>
      <c r="E22" s="33" t="s">
        <v>1</v>
      </c>
      <c r="F22" s="34"/>
      <c r="G22" s="34"/>
      <c r="H22" s="34"/>
      <c r="I22" s="38" t="str">
        <f>' VV - Example'!G22</f>
        <v>Enter Data</v>
      </c>
      <c r="J22" s="35"/>
      <c r="K22" s="35"/>
      <c r="L22" s="35"/>
    </row>
    <row r="23" spans="2:12" x14ac:dyDescent="0.2">
      <c r="B23" s="303" t="s">
        <v>64</v>
      </c>
      <c r="C23" s="304">
        <f>1.03*Adjustment_Factor_2007</f>
        <v>1.0609</v>
      </c>
      <c r="D23" s="305" t="s">
        <v>65</v>
      </c>
      <c r="E23" s="33" t="s">
        <v>2</v>
      </c>
      <c r="F23" s="34"/>
      <c r="G23" s="34"/>
      <c r="H23" s="34"/>
      <c r="I23" s="38" t="str">
        <f>' VV - Example'!G23</f>
        <v>Enter Data</v>
      </c>
      <c r="J23" s="35"/>
      <c r="K23" s="35"/>
      <c r="L23" s="35"/>
    </row>
    <row r="24" spans="2:12" x14ac:dyDescent="0.2">
      <c r="B24" s="306" t="s">
        <v>66</v>
      </c>
      <c r="C24" s="304">
        <f>1.03*C23</f>
        <v>1.092727</v>
      </c>
      <c r="D24" s="305" t="s">
        <v>67</v>
      </c>
      <c r="E24" s="33" t="s">
        <v>3</v>
      </c>
      <c r="F24" s="34"/>
      <c r="G24" s="34"/>
      <c r="H24" s="34"/>
      <c r="I24" s="38" t="str">
        <f>' VV - Example'!G24</f>
        <v>Enter Data</v>
      </c>
      <c r="J24" s="35"/>
      <c r="K24" s="35"/>
      <c r="L24" s="35"/>
    </row>
    <row r="25" spans="2:12" x14ac:dyDescent="0.2">
      <c r="B25" s="307"/>
      <c r="C25" s="308"/>
      <c r="D25" s="309"/>
      <c r="E25" s="33" t="s">
        <v>4</v>
      </c>
      <c r="F25" s="34"/>
      <c r="G25" s="34"/>
      <c r="H25" s="34"/>
      <c r="I25" s="38" t="str">
        <f>' VV - Example'!G25</f>
        <v>Enter Data</v>
      </c>
      <c r="J25" s="35"/>
      <c r="K25" s="35"/>
      <c r="L25" s="35"/>
    </row>
    <row r="26" spans="2:12" x14ac:dyDescent="0.2">
      <c r="B26" s="303" t="s">
        <v>68</v>
      </c>
      <c r="C26" s="310">
        <v>39083</v>
      </c>
      <c r="D26" s="311" t="s">
        <v>69</v>
      </c>
      <c r="E26" s="33" t="s">
        <v>6</v>
      </c>
      <c r="F26" s="34"/>
      <c r="G26" s="34"/>
      <c r="H26" s="34"/>
      <c r="I26" s="38" t="str">
        <f>' VV - Example'!G26</f>
        <v>Enter Data</v>
      </c>
      <c r="J26" s="35"/>
      <c r="K26" s="35"/>
      <c r="L26" s="35"/>
    </row>
    <row r="27" spans="2:12" x14ac:dyDescent="0.2">
      <c r="B27" s="303" t="s">
        <v>70</v>
      </c>
      <c r="C27" s="310">
        <v>39448</v>
      </c>
      <c r="D27" s="311" t="s">
        <v>71</v>
      </c>
      <c r="E27" s="33" t="s">
        <v>8</v>
      </c>
      <c r="F27" s="34"/>
      <c r="G27" s="34"/>
      <c r="H27" s="34"/>
      <c r="I27" s="38" t="str">
        <f>' VV - Example'!G27</f>
        <v>Enter Data</v>
      </c>
      <c r="J27" s="35"/>
      <c r="K27" s="35"/>
      <c r="L27" s="35"/>
    </row>
    <row r="28" spans="2:12" x14ac:dyDescent="0.2">
      <c r="B28" s="303" t="s">
        <v>72</v>
      </c>
      <c r="C28" s="310">
        <v>39814</v>
      </c>
      <c r="D28" s="311" t="s">
        <v>73</v>
      </c>
      <c r="E28" s="33" t="s">
        <v>9</v>
      </c>
      <c r="F28" s="34"/>
      <c r="G28" s="34"/>
      <c r="H28" s="34"/>
      <c r="I28" s="38" t="str">
        <f>' VV - Example'!G28</f>
        <v>Enter Data</v>
      </c>
      <c r="J28" s="35"/>
      <c r="K28" s="35"/>
      <c r="L28" s="35"/>
    </row>
    <row r="29" spans="2:12" ht="13.5" thickBot="1" x14ac:dyDescent="0.25">
      <c r="B29" s="312" t="s">
        <v>74</v>
      </c>
      <c r="C29" s="313">
        <v>40179</v>
      </c>
      <c r="D29" s="314" t="s">
        <v>75</v>
      </c>
      <c r="E29" s="33" t="s">
        <v>12</v>
      </c>
      <c r="F29" s="34"/>
      <c r="G29" s="34"/>
      <c r="H29" s="34"/>
      <c r="I29" s="38" t="str">
        <f>' VV - Example'!G29</f>
        <v>Enter Data</v>
      </c>
      <c r="J29" s="35"/>
      <c r="K29" s="35"/>
      <c r="L29" s="35"/>
    </row>
    <row r="30" spans="2:12" x14ac:dyDescent="0.2">
      <c r="E30" s="33" t="s">
        <v>18</v>
      </c>
      <c r="F30" s="34"/>
      <c r="G30" s="34"/>
      <c r="H30" s="34"/>
      <c r="I30" s="38" t="str">
        <f>' VV - Example'!G30</f>
        <v>Enter Data</v>
      </c>
      <c r="J30" s="35"/>
      <c r="K30" s="35"/>
      <c r="L30" s="35"/>
    </row>
    <row r="31" spans="2:12" x14ac:dyDescent="0.2">
      <c r="E31" s="33" t="s">
        <v>10</v>
      </c>
      <c r="F31" s="34"/>
      <c r="G31" s="34"/>
      <c r="H31" s="34"/>
      <c r="I31" s="38" t="str">
        <f>' VV - Example'!G31</f>
        <v>Enter Data</v>
      </c>
      <c r="J31" s="35"/>
      <c r="K31" s="35"/>
      <c r="L31" s="35"/>
    </row>
    <row r="32" spans="2:12" x14ac:dyDescent="0.2">
      <c r="E32" s="33" t="s">
        <v>11</v>
      </c>
      <c r="F32" s="34"/>
      <c r="G32" s="34"/>
      <c r="H32" s="34"/>
      <c r="I32" s="38" t="str">
        <f>' VV - Example'!G32</f>
        <v>Enter Data</v>
      </c>
      <c r="J32" s="35"/>
      <c r="K32" s="35"/>
      <c r="L32" s="35"/>
    </row>
    <row r="33" spans="1:12" ht="23.25" thickBot="1" x14ac:dyDescent="0.25">
      <c r="E33" s="46" t="s">
        <v>19</v>
      </c>
      <c r="F33" s="46" t="s">
        <v>37</v>
      </c>
      <c r="G33" s="46" t="s">
        <v>24</v>
      </c>
      <c r="H33" s="46" t="s">
        <v>20</v>
      </c>
      <c r="I33" s="46" t="s">
        <v>76</v>
      </c>
      <c r="J33" s="46" t="s">
        <v>77</v>
      </c>
      <c r="K33" s="46" t="s">
        <v>78</v>
      </c>
      <c r="L33" s="46" t="s">
        <v>21</v>
      </c>
    </row>
    <row r="34" spans="1:12" ht="36" customHeight="1" thickBot="1" x14ac:dyDescent="0.3">
      <c r="A34" s="47" t="s">
        <v>344</v>
      </c>
      <c r="B34" s="347" t="s">
        <v>356</v>
      </c>
      <c r="C34" s="348"/>
      <c r="D34" s="49"/>
      <c r="E34" s="192">
        <v>1</v>
      </c>
      <c r="F34" s="192" t="s">
        <v>372</v>
      </c>
      <c r="G34" s="192" t="s">
        <v>79</v>
      </c>
      <c r="H34" s="192" t="s">
        <v>81</v>
      </c>
      <c r="I34" s="193" t="s">
        <v>82</v>
      </c>
      <c r="J34" s="316" t="s">
        <v>412</v>
      </c>
      <c r="K34" s="194" t="s">
        <v>135</v>
      </c>
      <c r="L34" s="195">
        <f>'AC - Example'!$G64</f>
        <v>-78170230.069999993</v>
      </c>
    </row>
    <row r="35" spans="1:12" x14ac:dyDescent="0.2">
      <c r="B35" s="132"/>
      <c r="C35" s="132"/>
      <c r="E35" s="192">
        <f t="shared" ref="E35:E80" si="0">E34+1</f>
        <v>2</v>
      </c>
      <c r="F35" s="192" t="s">
        <v>372</v>
      </c>
      <c r="G35" s="192" t="s">
        <v>79</v>
      </c>
      <c r="H35" s="196" t="s">
        <v>83</v>
      </c>
      <c r="I35" s="197" t="s">
        <v>84</v>
      </c>
      <c r="J35" s="198" t="s">
        <v>34</v>
      </c>
      <c r="K35" s="194" t="s">
        <v>398</v>
      </c>
      <c r="L35" s="199">
        <f>'AC - Example'!$G70</f>
        <v>4501.2199999999993</v>
      </c>
    </row>
    <row r="36" spans="1:12" x14ac:dyDescent="0.2">
      <c r="B36" s="132"/>
      <c r="C36" s="132"/>
      <c r="E36" s="192">
        <f t="shared" si="0"/>
        <v>3</v>
      </c>
      <c r="F36" s="192" t="s">
        <v>372</v>
      </c>
      <c r="G36" s="192" t="s">
        <v>79</v>
      </c>
      <c r="H36" s="196" t="s">
        <v>215</v>
      </c>
      <c r="I36" s="197" t="s">
        <v>329</v>
      </c>
      <c r="J36" s="198" t="s">
        <v>34</v>
      </c>
      <c r="K36" s="194" t="s">
        <v>398</v>
      </c>
      <c r="L36" s="200">
        <f>'AC - Example'!F71</f>
        <v>0.09</v>
      </c>
    </row>
    <row r="37" spans="1:12" x14ac:dyDescent="0.2">
      <c r="B37" s="132"/>
      <c r="C37" s="132"/>
      <c r="E37" s="192">
        <f t="shared" si="0"/>
        <v>4</v>
      </c>
      <c r="F37" s="192" t="s">
        <v>372</v>
      </c>
      <c r="G37" s="192" t="s">
        <v>79</v>
      </c>
      <c r="H37" s="196" t="s">
        <v>85</v>
      </c>
      <c r="I37" s="197" t="s">
        <v>86</v>
      </c>
      <c r="J37" s="198" t="s">
        <v>34</v>
      </c>
      <c r="K37" s="194" t="s">
        <v>398</v>
      </c>
      <c r="L37" s="199">
        <f>'AC - Example'!$G72</f>
        <v>405.11</v>
      </c>
    </row>
    <row r="38" spans="1:12" x14ac:dyDescent="0.2">
      <c r="B38" s="132"/>
      <c r="C38" s="132"/>
      <c r="E38" s="192">
        <f t="shared" si="0"/>
        <v>5</v>
      </c>
      <c r="F38" s="192" t="s">
        <v>372</v>
      </c>
      <c r="G38" s="192" t="s">
        <v>79</v>
      </c>
      <c r="H38" s="196" t="s">
        <v>87</v>
      </c>
      <c r="I38" s="197" t="s">
        <v>88</v>
      </c>
      <c r="J38" s="198" t="s">
        <v>34</v>
      </c>
      <c r="K38" s="194" t="s">
        <v>398</v>
      </c>
      <c r="L38" s="199">
        <f>'AC - Example'!$G76</f>
        <v>1500.88</v>
      </c>
    </row>
    <row r="39" spans="1:12" x14ac:dyDescent="0.2">
      <c r="B39" s="132"/>
      <c r="C39" s="132"/>
      <c r="E39" s="192">
        <f t="shared" si="0"/>
        <v>6</v>
      </c>
      <c r="F39" s="192" t="s">
        <v>372</v>
      </c>
      <c r="G39" s="192" t="s">
        <v>79</v>
      </c>
      <c r="H39" s="196" t="s">
        <v>89</v>
      </c>
      <c r="I39" s="201" t="s">
        <v>90</v>
      </c>
      <c r="J39" s="198" t="s">
        <v>34</v>
      </c>
      <c r="K39" s="194" t="s">
        <v>398</v>
      </c>
      <c r="L39" s="199">
        <f>'AC - Example'!$G77</f>
        <v>5000.12</v>
      </c>
    </row>
    <row r="40" spans="1:12" x14ac:dyDescent="0.2">
      <c r="B40" s="132"/>
      <c r="C40" s="132"/>
      <c r="E40" s="192">
        <f t="shared" si="0"/>
        <v>7</v>
      </c>
      <c r="F40" s="192" t="s">
        <v>372</v>
      </c>
      <c r="G40" s="192" t="s">
        <v>79</v>
      </c>
      <c r="H40" s="196" t="s">
        <v>91</v>
      </c>
      <c r="I40" s="197" t="s">
        <v>92</v>
      </c>
      <c r="J40" s="198" t="s">
        <v>34</v>
      </c>
      <c r="K40" s="194" t="s">
        <v>398</v>
      </c>
      <c r="L40" s="195">
        <f>'AC - Example'!$G78</f>
        <v>0</v>
      </c>
    </row>
    <row r="41" spans="1:12" x14ac:dyDescent="0.2">
      <c r="B41" s="132"/>
      <c r="C41" s="132"/>
      <c r="E41" s="192">
        <f t="shared" si="0"/>
        <v>8</v>
      </c>
      <c r="F41" s="192" t="s">
        <v>372</v>
      </c>
      <c r="G41" s="192" t="s">
        <v>79</v>
      </c>
      <c r="H41" s="196" t="s">
        <v>93</v>
      </c>
      <c r="I41" s="202" t="s">
        <v>94</v>
      </c>
      <c r="J41" s="198" t="s">
        <v>34</v>
      </c>
      <c r="K41" s="194" t="s">
        <v>399</v>
      </c>
      <c r="L41" s="199">
        <f>'AC - Example'!$G80</f>
        <v>9771279.2599999998</v>
      </c>
    </row>
    <row r="42" spans="1:12" x14ac:dyDescent="0.2">
      <c r="B42" s="132"/>
      <c r="C42" s="132"/>
      <c r="E42" s="192">
        <f t="shared" si="0"/>
        <v>9</v>
      </c>
      <c r="F42" s="192" t="s">
        <v>372</v>
      </c>
      <c r="G42" s="196" t="s">
        <v>38</v>
      </c>
      <c r="H42" s="196" t="s">
        <v>95</v>
      </c>
      <c r="I42" s="202" t="s">
        <v>405</v>
      </c>
      <c r="J42" s="151" t="s">
        <v>168</v>
      </c>
      <c r="K42" s="194" t="s">
        <v>96</v>
      </c>
      <c r="L42" s="162">
        <v>2</v>
      </c>
    </row>
    <row r="43" spans="1:12" ht="39.950000000000003" customHeight="1" x14ac:dyDescent="0.2">
      <c r="B43" s="132"/>
      <c r="C43" s="132"/>
      <c r="E43" s="192">
        <f t="shared" si="0"/>
        <v>10</v>
      </c>
      <c r="F43" s="192" t="s">
        <v>372</v>
      </c>
      <c r="G43" s="192" t="s">
        <v>38</v>
      </c>
      <c r="H43" s="203" t="s">
        <v>97</v>
      </c>
      <c r="I43" s="202" t="s">
        <v>376</v>
      </c>
      <c r="J43" s="338" t="s">
        <v>418</v>
      </c>
      <c r="K43" s="194" t="s">
        <v>398</v>
      </c>
      <c r="L43" s="145">
        <v>0</v>
      </c>
    </row>
    <row r="44" spans="1:12" ht="39.950000000000003" customHeight="1" x14ac:dyDescent="0.2">
      <c r="B44" s="132"/>
      <c r="C44" s="132"/>
      <c r="E44" s="192">
        <f t="shared" si="0"/>
        <v>11</v>
      </c>
      <c r="F44" s="192" t="s">
        <v>372</v>
      </c>
      <c r="G44" s="192" t="s">
        <v>38</v>
      </c>
      <c r="H44" s="205" t="s">
        <v>98</v>
      </c>
      <c r="I44" s="206" t="s">
        <v>99</v>
      </c>
      <c r="J44" s="204" t="s">
        <v>404</v>
      </c>
      <c r="K44" s="194" t="s">
        <v>398</v>
      </c>
      <c r="L44" s="207">
        <f>ROUND(IF(AND(L42=1,PDMO&gt;=Start_date_for_adjustment_2007,PDMO&lt;End_date_for_cap),IF(PDMO&lt;Start_date_for_2nd_year_of_adjustment_2008,(L43/9)*Adjustment_Factor_2007,IF(PDMO&lt;Start_date_for_3nd_year_of_adjustment_2009,(L43/9)*$C$23,(L43/9)*Adjustment_Factor_2009)),L35+SUM(L37:L40)),2)</f>
        <v>11407.33</v>
      </c>
    </row>
    <row r="45" spans="1:12" x14ac:dyDescent="0.2">
      <c r="B45" s="132"/>
      <c r="C45" s="132"/>
      <c r="E45" s="192">
        <f t="shared" si="0"/>
        <v>12</v>
      </c>
      <c r="F45" s="192" t="s">
        <v>372</v>
      </c>
      <c r="G45" s="192" t="s">
        <v>100</v>
      </c>
      <c r="H45" s="208" t="s">
        <v>83</v>
      </c>
      <c r="I45" s="209" t="s">
        <v>84</v>
      </c>
      <c r="J45" s="198" t="s">
        <v>34</v>
      </c>
      <c r="K45" s="210" t="s">
        <v>345</v>
      </c>
      <c r="L45" s="199">
        <f>'AC - Example'!$G41</f>
        <v>2600001.4500000002</v>
      </c>
    </row>
    <row r="46" spans="1:12" x14ac:dyDescent="0.2">
      <c r="B46" s="132"/>
      <c r="C46" s="132"/>
      <c r="E46" s="192">
        <f t="shared" si="0"/>
        <v>13</v>
      </c>
      <c r="F46" s="192" t="s">
        <v>372</v>
      </c>
      <c r="G46" s="192" t="s">
        <v>100</v>
      </c>
      <c r="H46" s="208" t="s">
        <v>215</v>
      </c>
      <c r="I46" s="211" t="s">
        <v>328</v>
      </c>
      <c r="J46" s="198" t="s">
        <v>34</v>
      </c>
      <c r="K46" s="210" t="s">
        <v>345</v>
      </c>
      <c r="L46" s="200">
        <f>'AC - Example'!F42</f>
        <v>0.03</v>
      </c>
    </row>
    <row r="47" spans="1:12" x14ac:dyDescent="0.2">
      <c r="B47" s="132"/>
      <c r="C47" s="132"/>
      <c r="E47" s="192">
        <f t="shared" si="0"/>
        <v>14</v>
      </c>
      <c r="F47" s="192" t="s">
        <v>372</v>
      </c>
      <c r="G47" s="192" t="s">
        <v>100</v>
      </c>
      <c r="H47" s="208" t="s">
        <v>85</v>
      </c>
      <c r="I47" s="211" t="s">
        <v>101</v>
      </c>
      <c r="J47" s="198" t="s">
        <v>34</v>
      </c>
      <c r="K47" s="210" t="s">
        <v>345</v>
      </c>
      <c r="L47" s="212">
        <f>+'AC - Example'!G43</f>
        <v>78000.039999999994</v>
      </c>
    </row>
    <row r="48" spans="1:12" x14ac:dyDescent="0.2">
      <c r="B48" s="132"/>
      <c r="C48" s="132"/>
      <c r="E48" s="192">
        <f t="shared" si="0"/>
        <v>15</v>
      </c>
      <c r="F48" s="192" t="s">
        <v>372</v>
      </c>
      <c r="G48" s="192" t="s">
        <v>100</v>
      </c>
      <c r="H48" s="208" t="s">
        <v>102</v>
      </c>
      <c r="I48" s="211" t="s">
        <v>103</v>
      </c>
      <c r="J48" s="198" t="s">
        <v>34</v>
      </c>
      <c r="K48" s="210" t="s">
        <v>345</v>
      </c>
      <c r="L48" s="213">
        <f>'AC - Example'!G47</f>
        <v>0</v>
      </c>
    </row>
    <row r="49" spans="1:23" ht="15.75" x14ac:dyDescent="0.25">
      <c r="B49" s="132"/>
      <c r="C49" s="132"/>
      <c r="E49" s="192">
        <f t="shared" si="0"/>
        <v>16</v>
      </c>
      <c r="F49" s="192" t="s">
        <v>372</v>
      </c>
      <c r="G49" s="192" t="s">
        <v>38</v>
      </c>
      <c r="H49" s="208" t="s">
        <v>47</v>
      </c>
      <c r="I49" s="211" t="s">
        <v>333</v>
      </c>
      <c r="J49" s="204" t="s">
        <v>425</v>
      </c>
      <c r="K49" s="210" t="s">
        <v>345</v>
      </c>
      <c r="L49" s="315">
        <f>Capital_Exclusion_Cents_Per_BOE</f>
        <v>-0.3</v>
      </c>
    </row>
    <row r="50" spans="1:23" x14ac:dyDescent="0.2">
      <c r="B50" s="132"/>
      <c r="C50" s="132"/>
      <c r="E50" s="192">
        <f t="shared" si="0"/>
        <v>17</v>
      </c>
      <c r="F50" s="192" t="s">
        <v>372</v>
      </c>
      <c r="G50" s="192" t="s">
        <v>38</v>
      </c>
      <c r="H50" s="208" t="s">
        <v>104</v>
      </c>
      <c r="I50" s="211" t="s">
        <v>105</v>
      </c>
      <c r="J50" s="198" t="s">
        <v>385</v>
      </c>
      <c r="K50" s="210" t="s">
        <v>345</v>
      </c>
      <c r="L50" s="213">
        <f>ROUND(Capital_Exclusion_Cents_Per_BOE*L58,2)</f>
        <v>-210082.57</v>
      </c>
    </row>
    <row r="51" spans="1:23" x14ac:dyDescent="0.2">
      <c r="B51" s="132"/>
      <c r="C51" s="132"/>
      <c r="E51" s="192">
        <f t="shared" si="0"/>
        <v>18</v>
      </c>
      <c r="F51" s="192" t="s">
        <v>372</v>
      </c>
      <c r="G51" s="192" t="s">
        <v>38</v>
      </c>
      <c r="H51" s="192" t="s">
        <v>106</v>
      </c>
      <c r="I51" s="193" t="s">
        <v>369</v>
      </c>
      <c r="J51" s="210" t="s">
        <v>107</v>
      </c>
      <c r="K51" s="210" t="s">
        <v>345</v>
      </c>
      <c r="L51" s="207">
        <f>L45+L48+L50</f>
        <v>2389918.8800000004</v>
      </c>
    </row>
    <row r="52" spans="1:23" x14ac:dyDescent="0.2">
      <c r="B52" s="132"/>
      <c r="C52" s="132"/>
      <c r="E52" s="192">
        <f t="shared" si="0"/>
        <v>19</v>
      </c>
      <c r="F52" s="192" t="s">
        <v>372</v>
      </c>
      <c r="G52" s="192" t="s">
        <v>100</v>
      </c>
      <c r="H52" s="192" t="s">
        <v>109</v>
      </c>
      <c r="I52" s="211" t="s">
        <v>110</v>
      </c>
      <c r="J52" s="198" t="s">
        <v>34</v>
      </c>
      <c r="K52" s="210" t="s">
        <v>346</v>
      </c>
      <c r="L52" s="207">
        <f>'AC - Example'!G51</f>
        <v>768000.12</v>
      </c>
    </row>
    <row r="53" spans="1:23" ht="25.5" x14ac:dyDescent="0.2">
      <c r="B53" s="132"/>
      <c r="C53" s="132"/>
      <c r="E53" s="192">
        <f t="shared" si="0"/>
        <v>20</v>
      </c>
      <c r="F53" s="192" t="s">
        <v>372</v>
      </c>
      <c r="G53" s="192" t="s">
        <v>38</v>
      </c>
      <c r="H53" s="192" t="s">
        <v>111</v>
      </c>
      <c r="I53" s="214" t="s">
        <v>112</v>
      </c>
      <c r="J53" s="204" t="s">
        <v>113</v>
      </c>
      <c r="K53" s="210" t="s">
        <v>346</v>
      </c>
      <c r="L53" s="207">
        <f>L51+L47+L52</f>
        <v>3235919.0400000005</v>
      </c>
    </row>
    <row r="54" spans="1:23" ht="26.25" thickBot="1" x14ac:dyDescent="0.25">
      <c r="B54" s="346"/>
      <c r="C54" s="346"/>
      <c r="E54" s="192">
        <f t="shared" si="0"/>
        <v>21</v>
      </c>
      <c r="F54" s="192" t="s">
        <v>372</v>
      </c>
      <c r="G54" s="196" t="s">
        <v>38</v>
      </c>
      <c r="H54" s="196" t="s">
        <v>114</v>
      </c>
      <c r="I54" s="209" t="s">
        <v>115</v>
      </c>
      <c r="J54" s="215" t="s">
        <v>116</v>
      </c>
      <c r="K54" s="216" t="s">
        <v>135</v>
      </c>
      <c r="L54" s="195">
        <f>L34+L41+L44+L53</f>
        <v>-65151624.43999999</v>
      </c>
    </row>
    <row r="55" spans="1:23" ht="33" customHeight="1" thickBot="1" x14ac:dyDescent="0.3">
      <c r="A55" s="47" t="s">
        <v>117</v>
      </c>
      <c r="B55" s="347" t="s">
        <v>357</v>
      </c>
      <c r="C55" s="348"/>
      <c r="E55" s="192">
        <f t="shared" si="0"/>
        <v>22</v>
      </c>
      <c r="F55" s="192" t="s">
        <v>338</v>
      </c>
      <c r="G55" s="192" t="s">
        <v>100</v>
      </c>
      <c r="H55" s="192" t="s">
        <v>83</v>
      </c>
      <c r="I55" s="217" t="s">
        <v>84</v>
      </c>
      <c r="J55" s="194" t="s">
        <v>34</v>
      </c>
      <c r="K55" s="194" t="s">
        <v>108</v>
      </c>
      <c r="L55" s="207">
        <f>L45</f>
        <v>2600001.4500000002</v>
      </c>
    </row>
    <row r="56" spans="1:23" x14ac:dyDescent="0.2">
      <c r="B56" s="132"/>
      <c r="C56" s="132"/>
      <c r="D56" s="50"/>
      <c r="E56" s="192">
        <f t="shared" si="0"/>
        <v>23</v>
      </c>
      <c r="F56" s="196" t="s">
        <v>338</v>
      </c>
      <c r="G56" s="196" t="s">
        <v>38</v>
      </c>
      <c r="H56" s="196" t="s">
        <v>118</v>
      </c>
      <c r="I56" s="218" t="s">
        <v>119</v>
      </c>
      <c r="J56" s="219" t="s">
        <v>402</v>
      </c>
      <c r="K56" s="220" t="s">
        <v>108</v>
      </c>
      <c r="L56" s="221">
        <f>+' VV - Example'!$F34+' VV - Example'!F70</f>
        <v>800314.56833333336</v>
      </c>
    </row>
    <row r="57" spans="1:23" x14ac:dyDescent="0.2">
      <c r="B57" s="132"/>
      <c r="C57" s="132"/>
      <c r="E57" s="192">
        <f t="shared" si="0"/>
        <v>24</v>
      </c>
      <c r="F57" s="192" t="s">
        <v>338</v>
      </c>
      <c r="G57" s="192" t="s">
        <v>38</v>
      </c>
      <c r="H57" s="192" t="s">
        <v>120</v>
      </c>
      <c r="I57" s="217" t="s">
        <v>121</v>
      </c>
      <c r="J57" s="219" t="s">
        <v>419</v>
      </c>
      <c r="K57" s="220" t="s">
        <v>108</v>
      </c>
      <c r="L57" s="221">
        <f>' VV - Example'!$F35+' VV - Example'!F59</f>
        <v>100039.32666666668</v>
      </c>
    </row>
    <row r="58" spans="1:23" ht="40.5" customHeight="1" x14ac:dyDescent="0.2">
      <c r="B58" s="132"/>
      <c r="C58" s="132"/>
      <c r="E58" s="192">
        <f t="shared" si="0"/>
        <v>25</v>
      </c>
      <c r="F58" s="192" t="s">
        <v>338</v>
      </c>
      <c r="G58" s="192" t="s">
        <v>38</v>
      </c>
      <c r="H58" s="192" t="s">
        <v>122</v>
      </c>
      <c r="I58" s="222" t="s">
        <v>123</v>
      </c>
      <c r="J58" s="215" t="s">
        <v>394</v>
      </c>
      <c r="K58" s="216" t="s">
        <v>347</v>
      </c>
      <c r="L58" s="223">
        <f>L56-L57</f>
        <v>700275.2416666667</v>
      </c>
    </row>
    <row r="59" spans="1:23" x14ac:dyDescent="0.2">
      <c r="B59" s="132"/>
      <c r="C59" s="132"/>
      <c r="E59" s="192">
        <f t="shared" si="0"/>
        <v>26</v>
      </c>
      <c r="F59" s="192" t="s">
        <v>338</v>
      </c>
      <c r="G59" s="192" t="s">
        <v>38</v>
      </c>
      <c r="H59" s="196" t="s">
        <v>104</v>
      </c>
      <c r="I59" s="218" t="s">
        <v>105</v>
      </c>
      <c r="J59" s="204" t="s">
        <v>385</v>
      </c>
      <c r="K59" s="216" t="s">
        <v>347</v>
      </c>
      <c r="L59" s="224">
        <f>ROUND(Capital_Exclusion_Cents_Per_BOE*L58,2)</f>
        <v>-210082.57</v>
      </c>
    </row>
    <row r="60" spans="1:23" x14ac:dyDescent="0.2">
      <c r="B60" s="132"/>
      <c r="C60" s="132"/>
      <c r="E60" s="192">
        <f t="shared" si="0"/>
        <v>27</v>
      </c>
      <c r="F60" s="192" t="s">
        <v>338</v>
      </c>
      <c r="G60" s="192" t="s">
        <v>38</v>
      </c>
      <c r="H60" s="192" t="s">
        <v>106</v>
      </c>
      <c r="I60" s="193" t="s">
        <v>369</v>
      </c>
      <c r="J60" s="210" t="s">
        <v>124</v>
      </c>
      <c r="K60" s="194" t="s">
        <v>108</v>
      </c>
      <c r="L60" s="199">
        <f>L48+L55+L59</f>
        <v>2389918.8800000004</v>
      </c>
    </row>
    <row r="61" spans="1:23" x14ac:dyDescent="0.2">
      <c r="B61" s="132"/>
      <c r="C61" s="132"/>
      <c r="E61" s="192">
        <f t="shared" si="0"/>
        <v>28</v>
      </c>
      <c r="F61" s="192" t="s">
        <v>338</v>
      </c>
      <c r="G61" s="192" t="s">
        <v>38</v>
      </c>
      <c r="H61" s="196" t="s">
        <v>331</v>
      </c>
      <c r="I61" s="211" t="s">
        <v>334</v>
      </c>
      <c r="J61" s="225" t="s">
        <v>387</v>
      </c>
      <c r="K61" s="215" t="s">
        <v>348</v>
      </c>
      <c r="L61" s="226">
        <f>Qualified_Capex_Credit_Rate</f>
        <v>0.2</v>
      </c>
    </row>
    <row r="62" spans="1:23" s="28" customFormat="1" x14ac:dyDescent="0.2">
      <c r="B62" s="132"/>
      <c r="C62" s="132"/>
      <c r="D62" s="29"/>
      <c r="E62" s="192">
        <f t="shared" si="0"/>
        <v>29</v>
      </c>
      <c r="F62" s="192" t="s">
        <v>338</v>
      </c>
      <c r="G62" s="192" t="s">
        <v>38</v>
      </c>
      <c r="H62" s="192" t="s">
        <v>324</v>
      </c>
      <c r="I62" s="217" t="s">
        <v>364</v>
      </c>
      <c r="J62" s="210" t="s">
        <v>125</v>
      </c>
      <c r="K62" s="227" t="s">
        <v>126</v>
      </c>
      <c r="L62" s="228">
        <f>ROUND((1+'AC - Example'!$F$56)^12-1,7)</f>
        <v>8.02263E-2</v>
      </c>
      <c r="M62" s="132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29.25" thickBot="1" x14ac:dyDescent="0.25">
      <c r="B63" s="134"/>
      <c r="C63" s="134"/>
      <c r="D63" s="28"/>
      <c r="E63" s="192">
        <f t="shared" si="0"/>
        <v>30</v>
      </c>
      <c r="F63" s="192" t="s">
        <v>338</v>
      </c>
      <c r="G63" s="192" t="s">
        <v>38</v>
      </c>
      <c r="H63" s="192" t="s">
        <v>49</v>
      </c>
      <c r="I63" s="193" t="s">
        <v>377</v>
      </c>
      <c r="J63" s="229" t="s">
        <v>325</v>
      </c>
      <c r="K63" s="230" t="s">
        <v>348</v>
      </c>
      <c r="L63" s="195">
        <f>ROUND(-Qualified_Capex_Credit_Rate*IF(PDMO&lt;ACES_Effective_Date,L60,(0.5*L60+(0.5*L60)/(1+L62))),2)</f>
        <v>-460234.31</v>
      </c>
    </row>
    <row r="64" spans="1:23" ht="29.25" customHeight="1" thickBot="1" x14ac:dyDescent="0.3">
      <c r="A64" s="47" t="s">
        <v>127</v>
      </c>
      <c r="B64" s="349" t="s">
        <v>358</v>
      </c>
      <c r="C64" s="350"/>
      <c r="D64" s="28"/>
      <c r="E64" s="192">
        <f t="shared" si="0"/>
        <v>31</v>
      </c>
      <c r="F64" s="231" t="s">
        <v>339</v>
      </c>
      <c r="G64" s="192" t="s">
        <v>38</v>
      </c>
      <c r="H64" s="192" t="s">
        <v>330</v>
      </c>
      <c r="I64" s="217" t="s">
        <v>332</v>
      </c>
      <c r="J64" s="210" t="s">
        <v>426</v>
      </c>
      <c r="K64" s="227" t="s">
        <v>130</v>
      </c>
      <c r="L64" s="232">
        <f>IF(PDMO&lt;ACES_Effective_Date,Before_ACES_Loss_Carry_Forward_Cr_Rate,After_ACES_Loss_Carry_Forward_Cr_Rate)</f>
        <v>-0.25</v>
      </c>
    </row>
    <row r="65" spans="1:23" s="28" customFormat="1" ht="31.5" customHeight="1" x14ac:dyDescent="0.2">
      <c r="B65" s="134"/>
      <c r="C65" s="134"/>
      <c r="D65" s="29"/>
      <c r="E65" s="192">
        <f t="shared" si="0"/>
        <v>32</v>
      </c>
      <c r="F65" s="192" t="s">
        <v>339</v>
      </c>
      <c r="G65" s="192" t="s">
        <v>38</v>
      </c>
      <c r="H65" s="192" t="s">
        <v>128</v>
      </c>
      <c r="I65" s="217" t="s">
        <v>129</v>
      </c>
      <c r="J65" s="343" t="s">
        <v>432</v>
      </c>
      <c r="K65" s="227" t="s">
        <v>130</v>
      </c>
      <c r="L65" s="344">
        <f>IF(OR(L$56&gt;0,L$35&lt;&gt;0),0,L$54)</f>
        <v>0</v>
      </c>
      <c r="M65" s="370" t="s">
        <v>434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30" customHeight="1" thickBot="1" x14ac:dyDescent="0.25">
      <c r="B66" s="132"/>
      <c r="C66" s="132"/>
      <c r="D66" s="51"/>
      <c r="E66" s="192">
        <f t="shared" si="0"/>
        <v>33</v>
      </c>
      <c r="F66" s="192" t="s">
        <v>339</v>
      </c>
      <c r="G66" s="192" t="s">
        <v>38</v>
      </c>
      <c r="H66" s="233" t="s">
        <v>131</v>
      </c>
      <c r="I66" s="217" t="s">
        <v>132</v>
      </c>
      <c r="J66" s="210" t="s">
        <v>386</v>
      </c>
      <c r="K66" s="227" t="s">
        <v>130</v>
      </c>
      <c r="L66" s="195">
        <f>ROUND(L64*L65,2)</f>
        <v>0</v>
      </c>
    </row>
    <row r="67" spans="1:23" ht="27" thickBot="1" x14ac:dyDescent="0.3">
      <c r="A67" s="47" t="s">
        <v>133</v>
      </c>
      <c r="B67" s="351" t="s">
        <v>359</v>
      </c>
      <c r="C67" s="352"/>
      <c r="D67" s="52"/>
      <c r="E67" s="192">
        <f t="shared" si="0"/>
        <v>34</v>
      </c>
      <c r="F67" s="192" t="s">
        <v>340</v>
      </c>
      <c r="G67" s="192" t="s">
        <v>38</v>
      </c>
      <c r="H67" s="234" t="s">
        <v>114</v>
      </c>
      <c r="I67" s="235" t="s">
        <v>134</v>
      </c>
      <c r="J67" s="210" t="str">
        <f>J83</f>
        <v xml:space="preserve"> = TCR + NDCPT + TRYE + TPTD</v>
      </c>
      <c r="K67" s="194" t="s">
        <v>183</v>
      </c>
      <c r="L67" s="195">
        <f>L83</f>
        <v>-65151624.43999999</v>
      </c>
    </row>
    <row r="68" spans="1:23" ht="39" x14ac:dyDescent="0.25">
      <c r="B68" s="132"/>
      <c r="C68" s="132"/>
      <c r="D68" s="53"/>
      <c r="E68" s="192">
        <f t="shared" si="0"/>
        <v>35</v>
      </c>
      <c r="F68" s="196" t="s">
        <v>340</v>
      </c>
      <c r="G68" s="196" t="s">
        <v>38</v>
      </c>
      <c r="H68" s="196" t="s">
        <v>122</v>
      </c>
      <c r="I68" s="218" t="s">
        <v>136</v>
      </c>
      <c r="J68" s="215" t="s">
        <v>388</v>
      </c>
      <c r="K68" s="216" t="s">
        <v>183</v>
      </c>
      <c r="L68" s="223">
        <f>L58</f>
        <v>700275.2416666667</v>
      </c>
    </row>
    <row r="69" spans="1:23" x14ac:dyDescent="0.2">
      <c r="B69" s="48"/>
      <c r="C69" s="135"/>
      <c r="D69" s="40"/>
      <c r="E69" s="192">
        <f t="shared" si="0"/>
        <v>36</v>
      </c>
      <c r="F69" s="196" t="s">
        <v>340</v>
      </c>
      <c r="G69" s="196" t="s">
        <v>38</v>
      </c>
      <c r="H69" s="236" t="s">
        <v>137</v>
      </c>
      <c r="I69" s="202" t="s">
        <v>138</v>
      </c>
      <c r="J69" s="215" t="s">
        <v>336</v>
      </c>
      <c r="K69" s="216" t="s">
        <v>183</v>
      </c>
      <c r="L69" s="237">
        <f>IF(PDMO&lt;ACES_Effective_Date,Threshold__1_Price_Before_Aces,Threshold__1_Price_After_Aces)</f>
        <v>30</v>
      </c>
    </row>
    <row r="70" spans="1:23" s="55" customFormat="1" ht="12" customHeight="1" x14ac:dyDescent="0.2">
      <c r="B70" s="132"/>
      <c r="C70" s="135"/>
      <c r="D70" s="40"/>
      <c r="E70" s="192">
        <f t="shared" si="0"/>
        <v>37</v>
      </c>
      <c r="F70" s="196" t="s">
        <v>340</v>
      </c>
      <c r="G70" s="196" t="s">
        <v>38</v>
      </c>
      <c r="H70" s="236" t="s">
        <v>139</v>
      </c>
      <c r="I70" s="202" t="s">
        <v>365</v>
      </c>
      <c r="J70" s="215" t="s">
        <v>335</v>
      </c>
      <c r="K70" s="216" t="s">
        <v>183</v>
      </c>
      <c r="L70" s="228">
        <f>IF(PDMO&lt;ACES_Effective_Date,Progressive_Increment__1_Before_Aces,Progressive_Increment__1_After_Aces)</f>
        <v>4.0000000000000001E-3</v>
      </c>
      <c r="M70" s="132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55" customFormat="1" ht="12" customHeight="1" x14ac:dyDescent="0.2">
      <c r="B71" s="133"/>
      <c r="C71" s="136"/>
      <c r="D71" s="56"/>
      <c r="E71" s="192">
        <f t="shared" si="0"/>
        <v>38</v>
      </c>
      <c r="F71" s="196" t="s">
        <v>340</v>
      </c>
      <c r="G71" s="196" t="s">
        <v>38</v>
      </c>
      <c r="H71" s="236" t="s">
        <v>57</v>
      </c>
      <c r="I71" s="202" t="s">
        <v>140</v>
      </c>
      <c r="J71" s="238">
        <v>92.5</v>
      </c>
      <c r="K71" s="216" t="s">
        <v>183</v>
      </c>
      <c r="L71" s="237">
        <f>Threshold__2_Price_After_Aces</f>
        <v>92.5</v>
      </c>
      <c r="M71" s="132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55" customFormat="1" ht="12" customHeight="1" x14ac:dyDescent="0.2">
      <c r="B72" s="133"/>
      <c r="C72" s="136"/>
      <c r="D72" s="56"/>
      <c r="E72" s="192">
        <f t="shared" si="0"/>
        <v>39</v>
      </c>
      <c r="F72" s="196" t="s">
        <v>340</v>
      </c>
      <c r="G72" s="196" t="s">
        <v>38</v>
      </c>
      <c r="H72" s="236" t="s">
        <v>59</v>
      </c>
      <c r="I72" s="202" t="s">
        <v>366</v>
      </c>
      <c r="J72" s="215" t="s">
        <v>389</v>
      </c>
      <c r="K72" s="216" t="s">
        <v>183</v>
      </c>
      <c r="L72" s="228">
        <f>IF(PDMO&lt;ACES_Effective_Date,Progressive_Increment__1_Before_Aces,Progressive_Increment__2_After_Aces)</f>
        <v>1E-3</v>
      </c>
      <c r="M72" s="181"/>
      <c r="N72" s="28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55" customFormat="1" ht="12" customHeight="1" x14ac:dyDescent="0.2">
      <c r="B73" s="133"/>
      <c r="C73" s="136"/>
      <c r="D73" s="56"/>
      <c r="E73" s="192">
        <f t="shared" si="0"/>
        <v>40</v>
      </c>
      <c r="F73" s="196" t="s">
        <v>340</v>
      </c>
      <c r="G73" s="196" t="s">
        <v>38</v>
      </c>
      <c r="H73" s="236" t="s">
        <v>326</v>
      </c>
      <c r="I73" s="202" t="s">
        <v>327</v>
      </c>
      <c r="J73" s="215" t="s">
        <v>337</v>
      </c>
      <c r="K73" s="216" t="s">
        <v>183</v>
      </c>
      <c r="L73" s="228">
        <f>IF(PDMO&lt;ACES_Effective_Date,Max_Price_Index_Based_Rate_Before_Aces,Max_Price_Index_Based_Rate_After_Aces)</f>
        <v>0.5</v>
      </c>
      <c r="M73" s="132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x14ac:dyDescent="0.2">
      <c r="B74" s="133"/>
      <c r="C74" s="136"/>
      <c r="D74" s="56"/>
      <c r="E74" s="192">
        <f t="shared" si="0"/>
        <v>41</v>
      </c>
      <c r="F74" s="192" t="s">
        <v>340</v>
      </c>
      <c r="G74" s="255" t="s">
        <v>100</v>
      </c>
      <c r="H74" s="239" t="s">
        <v>141</v>
      </c>
      <c r="I74" s="240" t="s">
        <v>142</v>
      </c>
      <c r="J74" s="258" t="s">
        <v>34</v>
      </c>
      <c r="K74" s="241" t="s">
        <v>349</v>
      </c>
      <c r="L74" s="199">
        <f>'AC - Example'!$G$34</f>
        <v>0</v>
      </c>
    </row>
    <row r="75" spans="1:23" x14ac:dyDescent="0.2">
      <c r="B75" s="48"/>
      <c r="C75" s="135"/>
      <c r="D75" s="40"/>
      <c r="E75" s="192">
        <f t="shared" si="0"/>
        <v>42</v>
      </c>
      <c r="F75" s="192" t="s">
        <v>340</v>
      </c>
      <c r="G75" s="255" t="s">
        <v>143</v>
      </c>
      <c r="H75" s="242" t="s">
        <v>144</v>
      </c>
      <c r="I75" s="243" t="s">
        <v>145</v>
      </c>
      <c r="J75" s="227" t="s">
        <v>34</v>
      </c>
      <c r="K75" s="230" t="s">
        <v>349</v>
      </c>
      <c r="L75" s="228">
        <f>'AC - Example'!$F$61</f>
        <v>0.4</v>
      </c>
    </row>
    <row r="76" spans="1:23" x14ac:dyDescent="0.2">
      <c r="B76" s="48"/>
      <c r="C76" s="135"/>
      <c r="D76" s="40"/>
      <c r="E76" s="192">
        <f t="shared" si="0"/>
        <v>43</v>
      </c>
      <c r="F76" s="192" t="s">
        <v>340</v>
      </c>
      <c r="G76" s="192" t="s">
        <v>38</v>
      </c>
      <c r="H76" s="242" t="s">
        <v>146</v>
      </c>
      <c r="I76" s="244" t="s">
        <v>147</v>
      </c>
      <c r="J76" s="245" t="s">
        <v>390</v>
      </c>
      <c r="K76" s="246" t="s">
        <v>350</v>
      </c>
      <c r="L76" s="228">
        <f>IF(PDMO&lt;ACES_Effective_Date,Before_ACES_Section_e__Tax_Rate,After_ACES_Section_e__Tax_Rate)</f>
        <v>0.25</v>
      </c>
    </row>
    <row r="77" spans="1:23" ht="12" customHeight="1" x14ac:dyDescent="0.2">
      <c r="B77" s="48"/>
      <c r="C77" s="135"/>
      <c r="D77" s="40"/>
      <c r="E77" s="192">
        <f t="shared" si="0"/>
        <v>44</v>
      </c>
      <c r="F77" s="192" t="s">
        <v>340</v>
      </c>
      <c r="G77" s="192" t="s">
        <v>38</v>
      </c>
      <c r="H77" s="242" t="s">
        <v>148</v>
      </c>
      <c r="I77" s="247" t="s">
        <v>149</v>
      </c>
      <c r="J77" s="245" t="s">
        <v>391</v>
      </c>
      <c r="K77" s="230" t="s">
        <v>349</v>
      </c>
      <c r="L77" s="248">
        <f>IF(L54+'AC - Example'!$G34&lt;0,1,0)</f>
        <v>1</v>
      </c>
    </row>
    <row r="78" spans="1:23" ht="25.5" x14ac:dyDescent="0.2">
      <c r="B78" s="48"/>
      <c r="C78" s="135"/>
      <c r="D78" s="40"/>
      <c r="E78" s="192">
        <f t="shared" si="0"/>
        <v>45</v>
      </c>
      <c r="F78" s="192" t="s">
        <v>340</v>
      </c>
      <c r="G78" s="192" t="s">
        <v>38</v>
      </c>
      <c r="H78" s="249" t="s">
        <v>150</v>
      </c>
      <c r="I78" s="250" t="s">
        <v>370</v>
      </c>
      <c r="J78" s="251" t="s">
        <v>392</v>
      </c>
      <c r="K78" s="241" t="s">
        <v>349</v>
      </c>
      <c r="L78" s="252">
        <f>ROUND(IF(OR(PDMO&lt;ACES_Effective_Date,L77=0),1,(1-L75)/(1-L76*L75)),7)</f>
        <v>0.66666669999999995</v>
      </c>
    </row>
    <row r="79" spans="1:23" ht="25.5" x14ac:dyDescent="0.2">
      <c r="B79" s="48"/>
      <c r="C79" s="135"/>
      <c r="D79" s="40"/>
      <c r="E79" s="192">
        <f t="shared" si="0"/>
        <v>46</v>
      </c>
      <c r="F79" s="192" t="s">
        <v>340</v>
      </c>
      <c r="G79" s="192" t="s">
        <v>38</v>
      </c>
      <c r="H79" s="253" t="s">
        <v>151</v>
      </c>
      <c r="I79" s="254" t="s">
        <v>152</v>
      </c>
      <c r="J79" s="251" t="s">
        <v>420</v>
      </c>
      <c r="K79" s="241" t="s">
        <v>351</v>
      </c>
      <c r="L79" s="199">
        <f>ROUND(IF(L68=0,0,-L$54/(L68/L78)),2)</f>
        <v>62.02</v>
      </c>
    </row>
    <row r="80" spans="1:23" ht="24.75" customHeight="1" x14ac:dyDescent="0.2">
      <c r="B80" s="48"/>
      <c r="C80" s="135"/>
      <c r="D80" s="40"/>
      <c r="E80" s="354">
        <f t="shared" si="0"/>
        <v>47</v>
      </c>
      <c r="F80" s="354" t="s">
        <v>340</v>
      </c>
      <c r="G80" s="354" t="s">
        <v>38</v>
      </c>
      <c r="H80" s="236" t="s">
        <v>153</v>
      </c>
      <c r="I80" s="256" t="s">
        <v>154</v>
      </c>
      <c r="J80" s="257"/>
      <c r="K80" s="369" t="s">
        <v>135</v>
      </c>
      <c r="L80" s="367">
        <f>ROUND(IF(PDMO&lt;ACES_Effective_Date,MIN(Max_Price_Index_Based_Rate_Before_Aces,MAX(0,(L79-L69)*L70)),MIN(Max_Price_Index_Based_Rate_After_Aces,MAX(0,(MIN(L79,L71)-L69)*L70+MAX(0,(L79-L71)*Progressive_Increment__2_After_Aces)))),7)</f>
        <v>0.12808</v>
      </c>
    </row>
    <row r="81" spans="1:23" ht="29.25" customHeight="1" x14ac:dyDescent="0.2">
      <c r="B81" s="48"/>
      <c r="C81" s="135"/>
      <c r="D81" s="40"/>
      <c r="E81" s="355"/>
      <c r="F81" s="355"/>
      <c r="G81" s="355"/>
      <c r="H81" s="360" t="s">
        <v>395</v>
      </c>
      <c r="I81" s="361"/>
      <c r="J81" s="362"/>
      <c r="K81" s="369"/>
      <c r="L81" s="367"/>
    </row>
    <row r="82" spans="1:23" ht="24.75" customHeight="1" thickBot="1" x14ac:dyDescent="0.25">
      <c r="B82" s="48"/>
      <c r="C82" s="135"/>
      <c r="D82" s="40"/>
      <c r="E82" s="192">
        <f>E80+1</f>
        <v>48</v>
      </c>
      <c r="F82" s="192" t="s">
        <v>340</v>
      </c>
      <c r="G82" s="192" t="s">
        <v>38</v>
      </c>
      <c r="H82" s="236" t="s">
        <v>155</v>
      </c>
      <c r="I82" s="259" t="s">
        <v>156</v>
      </c>
      <c r="J82" s="251" t="s">
        <v>427</v>
      </c>
      <c r="K82" s="216" t="s">
        <v>135</v>
      </c>
      <c r="L82" s="199">
        <f>-ROUND(L80*L67,2)</f>
        <v>8344620.0599999996</v>
      </c>
    </row>
    <row r="83" spans="1:23" ht="32.25" customHeight="1" thickBot="1" x14ac:dyDescent="0.3">
      <c r="A83" s="47" t="s">
        <v>157</v>
      </c>
      <c r="B83" s="347" t="s">
        <v>360</v>
      </c>
      <c r="C83" s="348"/>
      <c r="D83" s="40"/>
      <c r="E83" s="192">
        <f>E82+1</f>
        <v>49</v>
      </c>
      <c r="F83" s="192" t="s">
        <v>341</v>
      </c>
      <c r="G83" s="192" t="s">
        <v>38</v>
      </c>
      <c r="H83" s="234" t="s">
        <v>114</v>
      </c>
      <c r="I83" s="235" t="s">
        <v>158</v>
      </c>
      <c r="J83" s="260" t="str">
        <f>J54</f>
        <v xml:space="preserve"> = TCR + NDCPT + TRYE + TPTD</v>
      </c>
      <c r="K83" s="194" t="s">
        <v>159</v>
      </c>
      <c r="L83" s="195">
        <f>L54</f>
        <v>-65151624.43999999</v>
      </c>
    </row>
    <row r="84" spans="1:23" ht="26.25" x14ac:dyDescent="0.25">
      <c r="B84" s="132"/>
      <c r="C84" s="132"/>
      <c r="D84" s="53"/>
      <c r="E84" s="192">
        <f t="shared" ref="E84:E99" si="1">E83+1</f>
        <v>50</v>
      </c>
      <c r="F84" s="192" t="s">
        <v>341</v>
      </c>
      <c r="G84" s="192" t="s">
        <v>38</v>
      </c>
      <c r="H84" s="233" t="s">
        <v>160</v>
      </c>
      <c r="I84" s="235" t="s">
        <v>161</v>
      </c>
      <c r="J84" s="343" t="s">
        <v>433</v>
      </c>
      <c r="K84" s="230" t="s">
        <v>159</v>
      </c>
      <c r="L84" s="345">
        <f>ROUND(IF(AND(L$56=0,L$35=0),0,IF(L83&gt;0,0,-L54*L76*L78)),2)</f>
        <v>10858604.619999999</v>
      </c>
      <c r="M84" s="370" t="s">
        <v>434</v>
      </c>
    </row>
    <row r="85" spans="1:23" s="55" customFormat="1" x14ac:dyDescent="0.2">
      <c r="B85" s="48"/>
      <c r="C85" s="48"/>
      <c r="D85" s="45"/>
      <c r="E85" s="192">
        <f t="shared" si="1"/>
        <v>51</v>
      </c>
      <c r="F85" s="192" t="s">
        <v>341</v>
      </c>
      <c r="G85" s="192" t="s">
        <v>38</v>
      </c>
      <c r="H85" s="192" t="s">
        <v>162</v>
      </c>
      <c r="I85" s="235" t="s">
        <v>163</v>
      </c>
      <c r="J85" s="210" t="s">
        <v>164</v>
      </c>
      <c r="K85" s="194" t="s">
        <v>165</v>
      </c>
      <c r="L85" s="195">
        <f>L34+L41</f>
        <v>-68398950.809999987</v>
      </c>
      <c r="M85" s="132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24.95" customHeight="1" x14ac:dyDescent="0.2">
      <c r="B86" s="133"/>
      <c r="C86" s="133"/>
      <c r="D86" s="57"/>
      <c r="E86" s="192">
        <f t="shared" si="1"/>
        <v>52</v>
      </c>
      <c r="F86" s="192" t="s">
        <v>341</v>
      </c>
      <c r="G86" s="192" t="s">
        <v>38</v>
      </c>
      <c r="H86" s="192" t="s">
        <v>166</v>
      </c>
      <c r="I86" s="235" t="s">
        <v>167</v>
      </c>
      <c r="J86" s="338" t="s">
        <v>421</v>
      </c>
      <c r="K86" s="194" t="s">
        <v>393</v>
      </c>
      <c r="L86" s="163">
        <v>107.297</v>
      </c>
    </row>
    <row r="87" spans="1:23" ht="36.75" customHeight="1" x14ac:dyDescent="0.2">
      <c r="B87" s="48"/>
      <c r="C87" s="48"/>
      <c r="D87" s="45"/>
      <c r="E87" s="354">
        <f t="shared" si="1"/>
        <v>53</v>
      </c>
      <c r="F87" s="354" t="s">
        <v>341</v>
      </c>
      <c r="G87" s="354" t="s">
        <v>38</v>
      </c>
      <c r="H87" s="317" t="s">
        <v>169</v>
      </c>
      <c r="I87" s="262" t="s">
        <v>170</v>
      </c>
      <c r="J87" s="263"/>
      <c r="K87" s="363" t="s">
        <v>352</v>
      </c>
      <c r="L87" s="368">
        <f>IF(L86&lt;15,0,IF(L86&lt;17.5,1%,IF(L86&lt;20,2%,IF(L86&lt;25,3%,4%))))</f>
        <v>0.04</v>
      </c>
    </row>
    <row r="88" spans="1:23" ht="12.75" customHeight="1" x14ac:dyDescent="0.2">
      <c r="B88" s="48"/>
      <c r="C88" s="48"/>
      <c r="D88" s="45"/>
      <c r="E88" s="355"/>
      <c r="F88" s="355"/>
      <c r="G88" s="355"/>
      <c r="H88" s="364" t="s">
        <v>171</v>
      </c>
      <c r="I88" s="365"/>
      <c r="J88" s="366"/>
      <c r="K88" s="363"/>
      <c r="L88" s="368"/>
    </row>
    <row r="89" spans="1:23" ht="26.25" x14ac:dyDescent="0.25">
      <c r="B89" s="48"/>
      <c r="C89" s="48"/>
      <c r="D89" s="45"/>
      <c r="E89" s="192">
        <f>E87+1</f>
        <v>54</v>
      </c>
      <c r="F89" s="192" t="s">
        <v>341</v>
      </c>
      <c r="G89" s="192" t="s">
        <v>38</v>
      </c>
      <c r="H89" s="205" t="s">
        <v>172</v>
      </c>
      <c r="I89" s="217" t="s">
        <v>173</v>
      </c>
      <c r="J89" s="261" t="s">
        <v>428</v>
      </c>
      <c r="K89" s="363" t="s">
        <v>353</v>
      </c>
      <c r="L89" s="199">
        <f>IF(L85&gt;0,0,ROUND(-L87*L85,2))</f>
        <v>2735958.03</v>
      </c>
    </row>
    <row r="90" spans="1:23" ht="26.25" thickBot="1" x14ac:dyDescent="0.25">
      <c r="B90" s="48"/>
      <c r="C90" s="48"/>
      <c r="D90" s="45"/>
      <c r="E90" s="192">
        <f t="shared" si="1"/>
        <v>55</v>
      </c>
      <c r="F90" s="192" t="s">
        <v>341</v>
      </c>
      <c r="G90" s="192" t="s">
        <v>38</v>
      </c>
      <c r="H90" s="192" t="s">
        <v>367</v>
      </c>
      <c r="I90" s="254" t="s">
        <v>174</v>
      </c>
      <c r="J90" s="261" t="s">
        <v>175</v>
      </c>
      <c r="K90" s="363"/>
      <c r="L90" s="199">
        <f>MAX(L84+L82,L89)</f>
        <v>19203224.68</v>
      </c>
    </row>
    <row r="91" spans="1:23" ht="16.5" thickBot="1" x14ac:dyDescent="0.3">
      <c r="A91" s="47" t="s">
        <v>361</v>
      </c>
      <c r="B91" s="347" t="s">
        <v>362</v>
      </c>
      <c r="C91" s="348"/>
      <c r="D91" s="53"/>
      <c r="E91" s="192">
        <f>E90+1</f>
        <v>56</v>
      </c>
      <c r="F91" s="192" t="s">
        <v>177</v>
      </c>
      <c r="G91" s="192" t="s">
        <v>38</v>
      </c>
      <c r="H91" s="192" t="s">
        <v>178</v>
      </c>
      <c r="I91" s="264" t="s">
        <v>179</v>
      </c>
      <c r="J91" s="265"/>
      <c r="K91" s="265"/>
      <c r="L91" s="266">
        <f>EOMONTH(PDMO,0)-PDMO+1</f>
        <v>31</v>
      </c>
    </row>
    <row r="92" spans="1:23" ht="24" customHeight="1" x14ac:dyDescent="0.2">
      <c r="B92" s="48"/>
      <c r="C92" s="48"/>
      <c r="D92" s="45"/>
      <c r="E92" s="192">
        <f t="shared" si="1"/>
        <v>57</v>
      </c>
      <c r="F92" s="192" t="s">
        <v>177</v>
      </c>
      <c r="G92" s="192" t="s">
        <v>38</v>
      </c>
      <c r="H92" s="253" t="s">
        <v>180</v>
      </c>
      <c r="I92" s="264" t="s">
        <v>409</v>
      </c>
      <c r="J92" s="267" t="s">
        <v>168</v>
      </c>
      <c r="K92" s="268" t="s">
        <v>396</v>
      </c>
      <c r="L92" s="122">
        <v>90000.25</v>
      </c>
    </row>
    <row r="93" spans="1:23" ht="62.25" x14ac:dyDescent="0.2">
      <c r="B93" s="48"/>
      <c r="C93" s="48"/>
      <c r="D93" s="45"/>
      <c r="E93" s="192">
        <f t="shared" si="1"/>
        <v>58</v>
      </c>
      <c r="F93" s="192" t="s">
        <v>177</v>
      </c>
      <c r="G93" s="192" t="s">
        <v>38</v>
      </c>
      <c r="H93" s="253" t="s">
        <v>181</v>
      </c>
      <c r="I93" s="269" t="s">
        <v>182</v>
      </c>
      <c r="J93" s="270" t="s">
        <v>422</v>
      </c>
      <c r="K93" s="216" t="s">
        <v>176</v>
      </c>
      <c r="L93" s="195">
        <f>IF(L92=0,0,-1*ROUND(IF(L92&lt;50000,1000000,IF(L92&gt;100000,0,1000000*(1-(2*(L92-50000)/100000)))),2))</f>
        <v>-199995</v>
      </c>
      <c r="M93"/>
      <c r="N93" s="178"/>
      <c r="O93" s="178"/>
    </row>
    <row r="94" spans="1:23" ht="39" customHeight="1" x14ac:dyDescent="0.2">
      <c r="B94" s="48"/>
      <c r="C94" s="48"/>
      <c r="D94" s="45"/>
      <c r="E94" s="192">
        <f t="shared" si="1"/>
        <v>59</v>
      </c>
      <c r="F94" s="192" t="s">
        <v>177</v>
      </c>
      <c r="G94" s="192" t="s">
        <v>38</v>
      </c>
      <c r="H94" s="253" t="s">
        <v>184</v>
      </c>
      <c r="I94" s="271" t="s">
        <v>410</v>
      </c>
      <c r="J94" s="272" t="s">
        <v>185</v>
      </c>
      <c r="K94" s="194" t="s">
        <v>176</v>
      </c>
      <c r="L94" s="223">
        <f>ROUND(L58/L91,2)</f>
        <v>22589.52</v>
      </c>
      <c r="M94" s="182"/>
    </row>
    <row r="95" spans="1:23" ht="57.75" thickBot="1" x14ac:dyDescent="0.25">
      <c r="B95" s="48"/>
      <c r="C95" s="48"/>
      <c r="D95" s="45"/>
      <c r="E95" s="192">
        <f t="shared" si="1"/>
        <v>60</v>
      </c>
      <c r="F95" s="192" t="s">
        <v>177</v>
      </c>
      <c r="G95" s="192" t="s">
        <v>38</v>
      </c>
      <c r="H95" s="253" t="s">
        <v>186</v>
      </c>
      <c r="I95" s="269" t="s">
        <v>187</v>
      </c>
      <c r="J95" s="273" t="s">
        <v>413</v>
      </c>
      <c r="K95" s="216" t="s">
        <v>176</v>
      </c>
      <c r="L95" s="195">
        <f>ROUND(IF(L93=0,0,IF(AND(PDMO&gt;ACES_Effective_Date,L89&gt;L84+L82),0,-MIN(IF(PDMO&lt;ACES_Effective_Date,L84,L84+L82),-L93*(L94/L92)))),2)</f>
        <v>-50197.54</v>
      </c>
      <c r="M95" s="29"/>
      <c r="N95" s="28"/>
    </row>
    <row r="96" spans="1:23" ht="32.25" customHeight="1" thickBot="1" x14ac:dyDescent="0.3">
      <c r="A96" s="47" t="s">
        <v>188</v>
      </c>
      <c r="B96" s="347" t="s">
        <v>368</v>
      </c>
      <c r="C96" s="348"/>
      <c r="D96" s="45"/>
      <c r="E96" s="192">
        <f t="shared" si="1"/>
        <v>61</v>
      </c>
      <c r="F96" s="196" t="s">
        <v>355</v>
      </c>
      <c r="G96" s="196" t="s">
        <v>38</v>
      </c>
      <c r="H96" s="253" t="s">
        <v>190</v>
      </c>
      <c r="I96" s="269" t="s">
        <v>189</v>
      </c>
      <c r="J96" s="274" t="s">
        <v>371</v>
      </c>
      <c r="K96" s="194" t="s">
        <v>354</v>
      </c>
      <c r="L96" s="199">
        <f>L90+L95</f>
        <v>19153027.140000001</v>
      </c>
    </row>
    <row r="97" spans="1:21" ht="33" customHeight="1" thickBot="1" x14ac:dyDescent="0.3">
      <c r="A97" s="47" t="s">
        <v>191</v>
      </c>
      <c r="B97" s="347" t="s">
        <v>423</v>
      </c>
      <c r="C97" s="348"/>
      <c r="D97" s="49"/>
      <c r="E97" s="192">
        <f t="shared" si="1"/>
        <v>62</v>
      </c>
      <c r="F97" s="192" t="s">
        <v>342</v>
      </c>
      <c r="G97" s="192" t="s">
        <v>38</v>
      </c>
      <c r="H97" s="205" t="s">
        <v>192</v>
      </c>
      <c r="I97" s="269" t="s">
        <v>193</v>
      </c>
      <c r="J97" s="275" t="s">
        <v>429</v>
      </c>
      <c r="K97" s="227" t="s">
        <v>194</v>
      </c>
      <c r="L97" s="342">
        <f>IF(OR(L$56&gt;0,L$35&lt;&gt;0),IF(L$54&gt;0,L$54,0),0)</f>
        <v>0</v>
      </c>
    </row>
    <row r="98" spans="1:21" ht="30.75" customHeight="1" thickBot="1" x14ac:dyDescent="0.3">
      <c r="B98" s="132"/>
      <c r="C98" s="132"/>
      <c r="D98" s="49"/>
      <c r="E98" s="192">
        <f t="shared" si="1"/>
        <v>63</v>
      </c>
      <c r="F98" s="192" t="s">
        <v>342</v>
      </c>
      <c r="G98" s="192" t="s">
        <v>38</v>
      </c>
      <c r="H98" s="192" t="s">
        <v>195</v>
      </c>
      <c r="I98" s="269" t="s">
        <v>196</v>
      </c>
      <c r="J98" s="275" t="s">
        <v>424</v>
      </c>
      <c r="K98" s="216" t="s">
        <v>194</v>
      </c>
      <c r="L98" s="195">
        <f>ROUND(IF(PDMO&lt;ACES_Effective_Date,Before_ACES_Loss_Carry_Forward_Cr_Rate,After_ACES_Loss_Carry_Forward_Cr_Rate)*(L97),2)</f>
        <v>0</v>
      </c>
      <c r="M98" s="177"/>
      <c r="N98" s="28"/>
      <c r="O98" s="28"/>
      <c r="P98" s="28"/>
      <c r="Q98" s="28"/>
      <c r="R98" s="28"/>
      <c r="S98" s="28"/>
      <c r="T98" s="179"/>
      <c r="U98" s="28"/>
    </row>
    <row r="99" spans="1:21" ht="35.25" customHeight="1" thickBot="1" x14ac:dyDescent="0.3">
      <c r="A99" s="47" t="s">
        <v>197</v>
      </c>
      <c r="B99" s="347" t="s">
        <v>363</v>
      </c>
      <c r="C99" s="348"/>
      <c r="D99" s="52"/>
      <c r="E99" s="192">
        <f t="shared" si="1"/>
        <v>64</v>
      </c>
      <c r="F99" s="196" t="s">
        <v>343</v>
      </c>
      <c r="G99" s="196" t="s">
        <v>38</v>
      </c>
      <c r="H99" s="192" t="s">
        <v>198</v>
      </c>
      <c r="I99" s="276" t="s">
        <v>199</v>
      </c>
      <c r="J99" s="275" t="s">
        <v>200</v>
      </c>
      <c r="K99" s="260" t="s">
        <v>201</v>
      </c>
      <c r="L99" s="195">
        <f>L63+L66</f>
        <v>-460234.31</v>
      </c>
    </row>
    <row r="100" spans="1:21" ht="15.75" x14ac:dyDescent="0.25">
      <c r="B100" s="132"/>
      <c r="C100" s="132"/>
      <c r="D100" s="49"/>
      <c r="H100" s="54"/>
      <c r="I100" s="54"/>
      <c r="J100" s="54"/>
      <c r="K100" s="54"/>
      <c r="L100" s="54"/>
    </row>
    <row r="101" spans="1:21" x14ac:dyDescent="0.2">
      <c r="B101" s="137"/>
      <c r="C101" s="135"/>
      <c r="D101" s="40"/>
    </row>
    <row r="102" spans="1:21" x14ac:dyDescent="0.2">
      <c r="B102" s="52"/>
      <c r="C102" s="52"/>
      <c r="D102" s="52"/>
    </row>
    <row r="103" spans="1:21" x14ac:dyDescent="0.2">
      <c r="B103" s="52"/>
      <c r="C103" s="52"/>
      <c r="D103" s="52"/>
    </row>
    <row r="104" spans="1:21" x14ac:dyDescent="0.2">
      <c r="B104" s="52"/>
      <c r="C104" s="52"/>
      <c r="D104" s="52"/>
    </row>
    <row r="105" spans="1:21" x14ac:dyDescent="0.2">
      <c r="B105" s="52"/>
      <c r="C105" s="42"/>
      <c r="D105" s="42"/>
    </row>
    <row r="106" spans="1:21" x14ac:dyDescent="0.2">
      <c r="B106" s="52"/>
      <c r="C106" s="52"/>
      <c r="D106" s="52"/>
    </row>
    <row r="107" spans="1:21" x14ac:dyDescent="0.2">
      <c r="B107" s="52"/>
      <c r="C107" s="52"/>
      <c r="D107" s="52"/>
    </row>
    <row r="108" spans="1:21" x14ac:dyDescent="0.2">
      <c r="B108" s="52"/>
      <c r="C108" s="52"/>
      <c r="D108" s="52"/>
    </row>
    <row r="109" spans="1:21" x14ac:dyDescent="0.2">
      <c r="B109" s="52"/>
      <c r="C109" s="52"/>
      <c r="D109" s="52"/>
    </row>
    <row r="110" spans="1:21" x14ac:dyDescent="0.2">
      <c r="B110" s="52"/>
      <c r="C110" s="52"/>
      <c r="D110" s="52"/>
    </row>
    <row r="111" spans="1:21" x14ac:dyDescent="0.2">
      <c r="B111" s="52"/>
      <c r="C111" s="52"/>
      <c r="D111" s="52"/>
    </row>
    <row r="112" spans="1:21" x14ac:dyDescent="0.2">
      <c r="B112" s="52"/>
      <c r="C112" s="52"/>
      <c r="D112" s="52"/>
    </row>
    <row r="113" spans="2:4" x14ac:dyDescent="0.2">
      <c r="B113" s="52"/>
      <c r="C113" s="52"/>
      <c r="D113" s="52"/>
    </row>
    <row r="114" spans="2:4" x14ac:dyDescent="0.2">
      <c r="B114" s="52"/>
      <c r="C114" s="52"/>
      <c r="D114" s="52"/>
    </row>
    <row r="115" spans="2:4" x14ac:dyDescent="0.2">
      <c r="B115" s="52"/>
      <c r="C115" s="52"/>
      <c r="D115" s="52"/>
    </row>
    <row r="116" spans="2:4" x14ac:dyDescent="0.2">
      <c r="B116" s="52"/>
      <c r="C116" s="52"/>
      <c r="D116" s="52"/>
    </row>
    <row r="117" spans="2:4" x14ac:dyDescent="0.2">
      <c r="B117" s="52"/>
      <c r="C117" s="52"/>
      <c r="D117" s="52"/>
    </row>
    <row r="118" spans="2:4" x14ac:dyDescent="0.2">
      <c r="B118" s="52"/>
      <c r="C118" s="52"/>
      <c r="D118" s="52"/>
    </row>
    <row r="119" spans="2:4" x14ac:dyDescent="0.2">
      <c r="B119" s="41"/>
      <c r="C119" s="42"/>
      <c r="D119" s="42"/>
    </row>
    <row r="120" spans="2:4" x14ac:dyDescent="0.2">
      <c r="B120" s="52"/>
      <c r="C120" s="52"/>
      <c r="D120" s="52"/>
    </row>
    <row r="121" spans="2:4" x14ac:dyDescent="0.2">
      <c r="B121" s="52"/>
      <c r="C121" s="52"/>
      <c r="D121" s="52"/>
    </row>
    <row r="122" spans="2:4" x14ac:dyDescent="0.2">
      <c r="B122" s="52"/>
      <c r="C122" s="52"/>
      <c r="D122" s="52"/>
    </row>
    <row r="123" spans="2:4" x14ac:dyDescent="0.2">
      <c r="B123" s="52"/>
      <c r="C123" s="52"/>
      <c r="D123" s="52"/>
    </row>
    <row r="124" spans="2:4" x14ac:dyDescent="0.2">
      <c r="B124" s="52"/>
      <c r="C124" s="52"/>
      <c r="D124" s="52"/>
    </row>
    <row r="125" spans="2:4" x14ac:dyDescent="0.2">
      <c r="B125" s="52"/>
      <c r="C125" s="52"/>
      <c r="D125" s="52"/>
    </row>
    <row r="126" spans="2:4" x14ac:dyDescent="0.2">
      <c r="B126" s="52"/>
      <c r="C126" s="52"/>
      <c r="D126" s="52"/>
    </row>
    <row r="127" spans="2:4" x14ac:dyDescent="0.2">
      <c r="B127" s="52"/>
      <c r="C127" s="52"/>
      <c r="D127" s="52"/>
    </row>
  </sheetData>
  <mergeCells count="28">
    <mergeCell ref="K89:K90"/>
    <mergeCell ref="H88:J88"/>
    <mergeCell ref="L80:L81"/>
    <mergeCell ref="E87:E88"/>
    <mergeCell ref="F87:F88"/>
    <mergeCell ref="G87:G88"/>
    <mergeCell ref="K87:K88"/>
    <mergeCell ref="L87:L88"/>
    <mergeCell ref="K80:K81"/>
    <mergeCell ref="D7:D8"/>
    <mergeCell ref="D9:D10"/>
    <mergeCell ref="D13:D14"/>
    <mergeCell ref="D15:D16"/>
    <mergeCell ref="H81:J81"/>
    <mergeCell ref="B97:C97"/>
    <mergeCell ref="B99:C99"/>
    <mergeCell ref="E80:E81"/>
    <mergeCell ref="F80:F81"/>
    <mergeCell ref="G80:G81"/>
    <mergeCell ref="B83:C83"/>
    <mergeCell ref="B91:C91"/>
    <mergeCell ref="B96:C96"/>
    <mergeCell ref="B54:C54"/>
    <mergeCell ref="B55:C55"/>
    <mergeCell ref="B64:C64"/>
    <mergeCell ref="B67:C67"/>
    <mergeCell ref="D19:D20"/>
    <mergeCell ref="B34:C34"/>
  </mergeCells>
  <printOptions horizontalCentered="1" verticalCentered="1"/>
  <pageMargins left="0" right="0" top="0.25" bottom="0.25" header="0" footer="0"/>
  <pageSetup scale="58" fitToHeight="2" orientation="landscape" r:id="rId1"/>
  <headerFooter differentFirst="1">
    <oddFooter>&amp;L&amp;"Calibri,Bold"&amp;6Filename: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F0DC0C6-A47F-41A3-8602-7306F4896FB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81F044-B20A-44D1-B13D-AB0FFF3EAF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8BC33-D237-4A83-8FF2-90A06A9B6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VV-Master</vt:lpstr>
      <vt:lpstr> VV - Example</vt:lpstr>
      <vt:lpstr>AC-Master</vt:lpstr>
      <vt:lpstr>AC - Example</vt:lpstr>
      <vt:lpstr>PT-Master</vt:lpstr>
      <vt:lpstr>PT-Example </vt:lpstr>
      <vt:lpstr>ACES_Effective_Date</vt:lpstr>
      <vt:lpstr>Adjustment_Factor_2007</vt:lpstr>
      <vt:lpstr>Adjustment_Factor_2008</vt:lpstr>
      <vt:lpstr>Adjustment_Factor_2009</vt:lpstr>
      <vt:lpstr>After_ACES_Loss_Carry_Forward_Cr_Rate</vt:lpstr>
      <vt:lpstr>After_ACES_Section_e__Tax_Rate</vt:lpstr>
      <vt:lpstr>Before_ACES_Loss_Carry_Forward_Cr_Rate</vt:lpstr>
      <vt:lpstr>Before_ACES_Section_e__Tax_Rate</vt:lpstr>
      <vt:lpstr>Capital_Exclusion_Cents_Per_BOE</vt:lpstr>
      <vt:lpstr>End_date_for_cap</vt:lpstr>
      <vt:lpstr>Max_Price_Index_Based_Rate_After_Aces</vt:lpstr>
      <vt:lpstr>Max_Price_Index_Based_Rate_Before_Aces</vt:lpstr>
      <vt:lpstr>Overhead_For_Capex</vt:lpstr>
      <vt:lpstr>Overhead_For_Opex</vt:lpstr>
      <vt:lpstr>PDMO</vt:lpstr>
      <vt:lpstr>' VV - Example'!Print_Area</vt:lpstr>
      <vt:lpstr>'AC - Example'!Print_Area</vt:lpstr>
      <vt:lpstr>'PT-Example '!Print_Area</vt:lpstr>
      <vt:lpstr>'PT-Master'!Print_Area</vt:lpstr>
      <vt:lpstr>Progressive_Increment__1_After_Aces</vt:lpstr>
      <vt:lpstr>Progressive_Increment__1_Before_Aces</vt:lpstr>
      <vt:lpstr>Progressive_Increment__2_After_Aces</vt:lpstr>
      <vt:lpstr>Qualified_Capex_Credit_Rate</vt:lpstr>
      <vt:lpstr>Start_date_for_2nd_year_of_adjustment_2008</vt:lpstr>
      <vt:lpstr>Start_date_for_3nd_year_of_adjustment_2009</vt:lpstr>
      <vt:lpstr>Start_date_for_adjustment_2007</vt:lpstr>
      <vt:lpstr>Threshold__1_Price_After_Aces</vt:lpstr>
      <vt:lpstr>Threshold__1_Price_Before_Aces</vt:lpstr>
      <vt:lpstr>Threshold__2_Price_After_Aces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</dc:creator>
  <cp:lastModifiedBy>Steller, Brock R (DNR)</cp:lastModifiedBy>
  <cp:lastPrinted>2012-12-19T22:50:06Z</cp:lastPrinted>
  <dcterms:created xsi:type="dcterms:W3CDTF">2004-09-30T20:23:44Z</dcterms:created>
  <dcterms:modified xsi:type="dcterms:W3CDTF">2012-12-19T22:50:14Z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Owner}">
    <vt:lpwstr>cssadmin</vt:lpwstr>
  </property>
  <property fmtid="{D5CDD505-2E9C-101B-9397-08002B2CF9AE}" pid="3" name="{DLP_CreatedBy}">
    <vt:lpwstr>jtkatsoris</vt:lpwstr>
  </property>
  <property fmtid="{D5CDD505-2E9C-101B-9397-08002B2CF9AE}" pid="4" name="{DLP_CreatedOn}">
    <vt:lpwstr>11/08/2018 11:59:33 AM</vt:lpwstr>
  </property>
  <property fmtid="{D5CDD505-2E9C-101B-9397-08002B2CF9AE}" pid="5" name="{DLP_Description}">
    <vt:lpwstr/>
  </property>
  <property fmtid="{D5CDD505-2E9C-101B-9397-08002B2CF9AE}" pid="6" name="{DLP_VersionNotes}">
    <vt:lpwstr/>
  </property>
  <property fmtid="{D5CDD505-2E9C-101B-9397-08002B2CF9AE}" pid="7" name="{DLP_VersionID}">
    <vt:lpwstr>1</vt:lpwstr>
  </property>
  <property fmtid="{D5CDD505-2E9C-101B-9397-08002B2CF9AE}" pid="8" name="{DLP_MinorID}">
    <vt:lpwstr>0</vt:lpwstr>
  </property>
  <property fmtid="{D5CDD505-2E9C-101B-9397-08002B2CF9AE}" pid="9" name="{DLP_Path}">
    <vt:lpwstr>DOG_Dev\Documents\PublicWebsite\Document Library\Royalty Accounting\</vt:lpwstr>
  </property>
  <property fmtid="{D5CDD505-2E9C-101B-9397-08002B2CF9AE}" pid="10" name="{DLP_ParentFolder}">
    <vt:lpwstr>C2BCECD5-255C-4761-96AF-B08D8C02D54E</vt:lpwstr>
  </property>
  <property fmtid="{D5CDD505-2E9C-101B-9397-08002B2CF9AE}" pid="11" name="{DLP_ObjectID}">
    <vt:lpwstr>4575147A99A94A599189DEF06C432434</vt:lpwstr>
  </property>
  <property fmtid="{D5CDD505-2E9C-101B-9397-08002B2CF9AE}" pid="12" name="{DLP_FileName}">
    <vt:lpwstr>2012-12-01__Alaska DNR - Oil &amp; Gas (volume value report).xlsx</vt:lpwstr>
  </property>
  <property fmtid="{D5CDD505-2E9C-101B-9397-08002B2CF9AE}" pid="13" name="{DLP_Extension}">
    <vt:lpwstr>.xlsx</vt:lpwstr>
  </property>
  <property fmtid="{D5CDD505-2E9C-101B-9397-08002B2CF9AE}" pid="14" name="{DLP_Profile}">
    <vt:lpwstr>Public Website</vt:lpwstr>
  </property>
  <property fmtid="{D5CDD505-2E9C-101B-9397-08002B2CF9AE}" pid="15" name="{DLPP_Document Date}">
    <vt:lpwstr>12/01/2012</vt:lpwstr>
  </property>
  <property fmtid="{D5CDD505-2E9C-101B-9397-08002B2CF9AE}" pid="16" name="{DLPP_DOG Section}">
    <vt:lpwstr>Royalty Accounting</vt:lpwstr>
  </property>
  <property fmtid="{D5CDD505-2E9C-101B-9397-08002B2CF9AE}" pid="17" name="{DLPP_Website Title}">
    <vt:lpwstr>Alaska DNR - Oil &amp; Gas (volume value report)</vt:lpwstr>
  </property>
  <property fmtid="{D5CDD505-2E9C-101B-9397-08002B2CF9AE}" pid="18" name="{DLPP_Website Pages}">
    <vt:lpwstr>Document Library</vt:lpwstr>
  </property>
  <property fmtid="{D5CDD505-2E9C-101B-9397-08002B2CF9AE}" pid="19" name="{DLPP_Profile Document Type}">
    <vt:lpwstr/>
  </property>
  <property fmtid="{D5CDD505-2E9C-101B-9397-08002B2CF9AE}" pid="20" name="{DLPP_Website Profile Process}">
    <vt:lpwstr/>
  </property>
  <property fmtid="{D5CDD505-2E9C-101B-9397-08002B2CF9AE}" pid="21" name="{DLPP_Region Name DOGByte}">
    <vt:lpwstr/>
  </property>
  <property fmtid="{D5CDD505-2E9C-101B-9397-08002B2CF9AE}" pid="22" name="{DLPP_Unit DOGByte}">
    <vt:lpwstr/>
  </property>
  <property fmtid="{D5CDD505-2E9C-101B-9397-08002B2CF9AE}" pid="23" name="{DLPP_ADL Number}">
    <vt:lpwstr/>
  </property>
  <property fmtid="{D5CDD505-2E9C-101B-9397-08002B2CF9AE}" pid="24" name="{DLPP_Pipeline}">
    <vt:lpwstr/>
  </property>
</Properties>
</file>