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165" windowWidth="14835" windowHeight="12540" tabRatio="570"/>
  </bookViews>
  <sheets>
    <sheet name="READ ME FIRST" sheetId="13" r:id="rId1"/>
    <sheet name="VV-Master" sheetId="2" r:id="rId2"/>
    <sheet name=" VV - Example" sheetId="12" r:id="rId3"/>
    <sheet name="AC-Master" sheetId="1" r:id="rId4"/>
    <sheet name="AC - Example" sheetId="11" r:id="rId5"/>
    <sheet name="PT-Master" sheetId="9" r:id="rId6"/>
    <sheet name="PT-Example " sheetId="10" r:id="rId7"/>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CES_Effective_Date">'PT-Example '!$C$13</definedName>
    <definedName name="Adjustment_Factor_2007">'PT-Example '!$C$27</definedName>
    <definedName name="Adjustment_Factor_2008">'PT-Example '!$C$28</definedName>
    <definedName name="Adjustment_Factor_2009">'PT-Example '!$C$29</definedName>
    <definedName name="After_ACES_Loss_Carry_Forward_Cr_Rate">'PT-Example '!$C$8</definedName>
    <definedName name="After_ACES_Section_e__Tax_Rate">'PT-Example '!$C$11</definedName>
    <definedName name="After_MAPA_Loss_Carry_Forward_Cr._Rate">'PT-Example '!$C$9</definedName>
    <definedName name="After_MAPA_Section_e__Tax_Rate">'PT-Example '!$C$12</definedName>
    <definedName name="Before_ACES_Loss_Carry_Forward_Cr_Rate">'PT-Example '!$C$7</definedName>
    <definedName name="Before_ACES_Section_e__Tax_Rate">'PT-Example '!$C$10</definedName>
    <definedName name="Capital_Exclusion_Cents_Per_BOE">'PT-Example '!$C$5</definedName>
    <definedName name="DPBGVRO">'PT-Example '!$C$26</definedName>
    <definedName name="End_date_for_cap">'PT-Example '!$C$34</definedName>
    <definedName name="GVRO">'PT-Example '!$C$15</definedName>
    <definedName name="HRGVRO">'PT-Example '!$C$16</definedName>
    <definedName name="MAPA_effective_date">'PT-Example '!$C$14</definedName>
    <definedName name="Max_Price_Index_Based_Rate_After_Aces">'PT-Example '!$C$25</definedName>
    <definedName name="Max_Price_Index_Based_Rate_Before_Aces">'PT-Example '!$C$24</definedName>
    <definedName name="Overhead_For_Capex">'PT-Example '!$C$4</definedName>
    <definedName name="Overhead_For_Opex">'PT-Example '!$C$3</definedName>
    <definedName name="Pal_Workbook_GUID" hidden="1">"5DQLG9UDPTE1RY7JLPNSGEWL"</definedName>
    <definedName name="PDMO">'PT-Example '!$I$7</definedName>
    <definedName name="_xlnm.Print_Area" localSheetId="2">' VV - Example'!$A$1:$L$74</definedName>
    <definedName name="_xlnm.Print_Area" localSheetId="4">'AC - Example'!$A$1:$I$93</definedName>
    <definedName name="_xlnm.Print_Area" localSheetId="6">'PT-Example '!$A$1:$L$126</definedName>
    <definedName name="_xlnm.Print_Area" localSheetId="5">'PT-Master'!$A$1:$H$118</definedName>
    <definedName name="Progressive_Increment__1_After_Aces">'PT-Example '!$C$21</definedName>
    <definedName name="Progressive_Increment__1_Before_Aces">'PT-Example '!$C$20</definedName>
    <definedName name="Progressive_Increment__2_After_Aces">'PT-Example '!$C$23</definedName>
    <definedName name="Qualified_Capex_Credit_Rate">'PT-Example '!$C$6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tart_date_for_2nd_year_of_adjustment_2008">'PT-Example '!$C$32</definedName>
    <definedName name="Start_date_for_3nd_year_of_adjustment_2009">'PT-Example '!$C$33</definedName>
    <definedName name="Start_date_for_adjustment_2007">'PT-Example '!$C$31</definedName>
    <definedName name="Threshold__1_Price_After_Aces">'PT-Example '!$C$19</definedName>
    <definedName name="Threshold__1_Price_Before_Aces">'PT-Example '!$C$18</definedName>
    <definedName name="Threshold__2_Price_After_Aces">'PT-Example '!$C$22</definedName>
  </definedNames>
  <calcPr calcId="145621"/>
</workbook>
</file>

<file path=xl/calcChain.xml><?xml version="1.0" encoding="utf-8"?>
<calcChain xmlns="http://schemas.openxmlformats.org/spreadsheetml/2006/main">
  <c r="H68" i="9" l="1"/>
  <c r="H67" i="9"/>
  <c r="H66" i="9"/>
  <c r="E65" i="9"/>
  <c r="E64" i="9"/>
  <c r="E63" i="9"/>
  <c r="E62" i="9"/>
  <c r="A62" i="9"/>
  <c r="B62" i="9"/>
  <c r="C62" i="9"/>
  <c r="D62" i="9"/>
  <c r="A63" i="9"/>
  <c r="B63" i="9"/>
  <c r="C63" i="9"/>
  <c r="D63" i="9"/>
  <c r="A64" i="9"/>
  <c r="B64" i="9"/>
  <c r="C64" i="9"/>
  <c r="D64" i="9"/>
  <c r="A65" i="9"/>
  <c r="B65" i="9"/>
  <c r="C65" i="9"/>
  <c r="D65" i="9"/>
  <c r="A66" i="9"/>
  <c r="B66" i="9"/>
  <c r="C66" i="9"/>
  <c r="D66" i="9"/>
  <c r="A67" i="9"/>
  <c r="B67" i="9"/>
  <c r="C67" i="9"/>
  <c r="D67" i="9"/>
  <c r="A68" i="9"/>
  <c r="B68" i="9"/>
  <c r="C68" i="9"/>
  <c r="D68" i="9"/>
  <c r="E71" i="10"/>
  <c r="E72" i="10"/>
  <c r="E73" i="10" s="1"/>
  <c r="E74" i="10" s="1"/>
  <c r="E75" i="10" s="1"/>
  <c r="E76" i="10" s="1"/>
  <c r="L71" i="10"/>
  <c r="L69" i="10"/>
  <c r="L68" i="10"/>
  <c r="L67" i="10"/>
  <c r="L66" i="10"/>
  <c r="E64" i="10"/>
  <c r="E65" i="10" s="1"/>
  <c r="E66" i="10" s="1"/>
  <c r="E67" i="10" s="1"/>
  <c r="E68" i="10" s="1"/>
  <c r="E69" i="10" s="1"/>
  <c r="E70" i="10" s="1"/>
  <c r="L70" i="10" l="1"/>
  <c r="H114" i="9"/>
  <c r="E113" i="9"/>
  <c r="F108" i="9"/>
  <c r="E105" i="9"/>
  <c r="H98" i="9"/>
  <c r="E56" i="9" l="1"/>
  <c r="E55" i="9"/>
  <c r="B119" i="9"/>
  <c r="C119" i="9"/>
  <c r="D119" i="9"/>
  <c r="B120" i="9"/>
  <c r="C120" i="9"/>
  <c r="D120" i="9"/>
  <c r="B111" i="9"/>
  <c r="C111" i="9"/>
  <c r="D111" i="9"/>
  <c r="B112" i="9"/>
  <c r="C112" i="9"/>
  <c r="D112" i="9"/>
  <c r="B113" i="9"/>
  <c r="C113" i="9"/>
  <c r="D113" i="9"/>
  <c r="B114" i="9"/>
  <c r="C114" i="9"/>
  <c r="D114" i="9"/>
  <c r="B115" i="9"/>
  <c r="C115" i="9"/>
  <c r="D115" i="9"/>
  <c r="B116" i="9"/>
  <c r="C116" i="9"/>
  <c r="D116" i="9"/>
  <c r="B117" i="9"/>
  <c r="C117" i="9"/>
  <c r="D117" i="9"/>
  <c r="B118" i="9"/>
  <c r="C118" i="9"/>
  <c r="D118" i="9"/>
  <c r="B110" i="9"/>
  <c r="C110" i="9"/>
  <c r="D110" i="9"/>
  <c r="B105" i="9"/>
  <c r="C105" i="9"/>
  <c r="D105" i="9"/>
  <c r="B106" i="9"/>
  <c r="C106" i="9"/>
  <c r="D106" i="9"/>
  <c r="B107" i="9"/>
  <c r="C107" i="9"/>
  <c r="D107" i="9"/>
  <c r="B108" i="9"/>
  <c r="C108" i="9"/>
  <c r="D108" i="9"/>
  <c r="B109" i="9"/>
  <c r="C109" i="9"/>
  <c r="D109" i="9"/>
  <c r="B104" i="9"/>
  <c r="C104" i="9"/>
  <c r="D104" i="9"/>
  <c r="B99" i="9"/>
  <c r="C99" i="9"/>
  <c r="D99" i="9"/>
  <c r="B100" i="9"/>
  <c r="C100" i="9"/>
  <c r="D100" i="9"/>
  <c r="B101" i="9"/>
  <c r="C101" i="9"/>
  <c r="D101" i="9"/>
  <c r="B102" i="9"/>
  <c r="C102" i="9"/>
  <c r="D102" i="9"/>
  <c r="B103" i="9"/>
  <c r="C103" i="9"/>
  <c r="D103" i="9"/>
  <c r="B98" i="9"/>
  <c r="C98" i="9"/>
  <c r="D98" i="9"/>
  <c r="B55" i="9"/>
  <c r="C55" i="9"/>
  <c r="D55" i="9"/>
  <c r="B56" i="9"/>
  <c r="C56" i="9"/>
  <c r="D56" i="9"/>
  <c r="B57" i="9"/>
  <c r="C57" i="9"/>
  <c r="D57" i="9"/>
  <c r="B58" i="9"/>
  <c r="C58" i="9"/>
  <c r="D58" i="9"/>
  <c r="B59" i="9"/>
  <c r="C59" i="9"/>
  <c r="D59" i="9"/>
  <c r="B60" i="9"/>
  <c r="C60" i="9"/>
  <c r="D60" i="9"/>
  <c r="B61" i="9"/>
  <c r="C61" i="9"/>
  <c r="D61" i="9"/>
  <c r="B69" i="9"/>
  <c r="C69" i="9"/>
  <c r="D69" i="9"/>
  <c r="B70" i="9"/>
  <c r="C70" i="9"/>
  <c r="D70" i="9"/>
  <c r="B71" i="9"/>
  <c r="C71" i="9"/>
  <c r="D71" i="9"/>
  <c r="B72" i="9"/>
  <c r="C72" i="9"/>
  <c r="D72" i="9"/>
  <c r="B73" i="9"/>
  <c r="C73" i="9"/>
  <c r="D73" i="9"/>
  <c r="B74" i="9"/>
  <c r="C74" i="9"/>
  <c r="D74" i="9"/>
  <c r="B75" i="9"/>
  <c r="C75" i="9"/>
  <c r="D75" i="9"/>
  <c r="B76" i="9"/>
  <c r="C76" i="9"/>
  <c r="D76" i="9"/>
  <c r="B77" i="9"/>
  <c r="C77" i="9"/>
  <c r="D77" i="9"/>
  <c r="B78" i="9"/>
  <c r="C78" i="9"/>
  <c r="D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88" i="9"/>
  <c r="C88" i="9"/>
  <c r="D88" i="9"/>
  <c r="B89" i="9"/>
  <c r="C89" i="9"/>
  <c r="D89" i="9"/>
  <c r="B90" i="9"/>
  <c r="C90" i="9"/>
  <c r="D90" i="9"/>
  <c r="B91" i="9"/>
  <c r="C91" i="9"/>
  <c r="D91" i="9"/>
  <c r="B92" i="9"/>
  <c r="C92" i="9"/>
  <c r="D92" i="9"/>
  <c r="B93" i="9"/>
  <c r="C93" i="9"/>
  <c r="D93" i="9"/>
  <c r="B94" i="9"/>
  <c r="C94" i="9"/>
  <c r="D94" i="9"/>
  <c r="B95" i="9"/>
  <c r="C95" i="9"/>
  <c r="D95" i="9"/>
  <c r="B96" i="9"/>
  <c r="C96" i="9"/>
  <c r="D96" i="9"/>
  <c r="B97" i="9"/>
  <c r="C97" i="9"/>
  <c r="D97" i="9"/>
  <c r="L109" i="10"/>
  <c r="L59" i="10"/>
  <c r="L108" i="10" s="1"/>
  <c r="E104" i="9" s="1"/>
  <c r="L60" i="10"/>
  <c r="E58" i="9" s="1"/>
  <c r="L61" i="10" l="1"/>
  <c r="H59" i="9" s="1"/>
  <c r="E57" i="9"/>
  <c r="L62" i="10"/>
  <c r="H60" i="9" s="1"/>
  <c r="H35" i="2"/>
  <c r="I35" i="2"/>
  <c r="H36" i="2"/>
  <c r="I36" i="2"/>
  <c r="H37" i="2"/>
  <c r="I37"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H57" i="2"/>
  <c r="I57" i="2"/>
  <c r="H58" i="2"/>
  <c r="I58" i="2"/>
  <c r="H59" i="2"/>
  <c r="I59" i="2"/>
  <c r="H60" i="2"/>
  <c r="I60" i="2"/>
  <c r="H61" i="2"/>
  <c r="I61" i="2"/>
  <c r="H62" i="2"/>
  <c r="I62" i="2"/>
  <c r="H63" i="2"/>
  <c r="I63" i="2"/>
  <c r="H64" i="2"/>
  <c r="I64" i="2"/>
  <c r="H65" i="2"/>
  <c r="I65" i="2"/>
  <c r="H66" i="2"/>
  <c r="I66" i="2"/>
  <c r="H67" i="2"/>
  <c r="I67" i="2"/>
  <c r="H68" i="2"/>
  <c r="I68" i="2"/>
  <c r="H69" i="2"/>
  <c r="I69" i="2"/>
  <c r="H70" i="2"/>
  <c r="I70" i="2"/>
  <c r="A66" i="1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38" i="2"/>
  <c r="B38" i="2"/>
  <c r="C38" i="2"/>
  <c r="D38" i="2"/>
  <c r="E38" i="2"/>
  <c r="A39" i="2"/>
  <c r="B39" i="2"/>
  <c r="C39" i="2"/>
  <c r="D39" i="2"/>
  <c r="E39" i="2"/>
  <c r="B35" i="2"/>
  <c r="C35" i="2"/>
  <c r="D35" i="2"/>
  <c r="E35" i="2"/>
  <c r="B36" i="2"/>
  <c r="C36" i="2"/>
  <c r="D36" i="2"/>
  <c r="E36" i="2"/>
  <c r="B37" i="2"/>
  <c r="C37" i="2"/>
  <c r="D37" i="2"/>
  <c r="E37" i="2"/>
  <c r="A36" i="2"/>
  <c r="A37" i="2"/>
  <c r="A35" i="2"/>
  <c r="F36" i="12" l="1"/>
  <c r="H53" i="12" s="1"/>
  <c r="H56" i="12"/>
  <c r="H74" i="12"/>
  <c r="L36" i="10" l="1"/>
  <c r="I12" i="10" l="1"/>
  <c r="F12" i="9" s="1"/>
  <c r="I7" i="10" l="1"/>
  <c r="L80" i="10" s="1"/>
  <c r="G78" i="9" s="1"/>
  <c r="I8" i="10"/>
  <c r="I9" i="10"/>
  <c r="I10" i="10"/>
  <c r="L111" i="10" l="1"/>
  <c r="H107" i="9" s="1"/>
  <c r="A66" i="1" l="1"/>
  <c r="A67" i="1"/>
  <c r="A68" i="1"/>
  <c r="A69" i="1"/>
  <c r="A70" i="1"/>
  <c r="A71" i="1"/>
  <c r="A72" i="1"/>
  <c r="A73" i="1"/>
  <c r="A74" i="1"/>
  <c r="A75" i="1"/>
  <c r="A76" i="1"/>
  <c r="A77" i="1"/>
  <c r="A78" i="1"/>
  <c r="A79" i="1"/>
  <c r="A80" i="1"/>
  <c r="A81" i="1"/>
  <c r="A82" i="1"/>
  <c r="A83" i="1"/>
  <c r="A84" i="1"/>
  <c r="A85" i="1"/>
  <c r="A86" i="1"/>
  <c r="A63" i="1"/>
  <c r="B63" i="1"/>
  <c r="C63" i="1"/>
  <c r="D63" i="1"/>
  <c r="F63" i="1"/>
  <c r="A64" i="1"/>
  <c r="B64" i="1"/>
  <c r="C64" i="1"/>
  <c r="D64" i="1"/>
  <c r="F64" i="1"/>
  <c r="A65" i="1"/>
  <c r="B65" i="1"/>
  <c r="C65" i="1"/>
  <c r="D65" i="1"/>
  <c r="F65" i="1"/>
  <c r="G65" i="11" l="1"/>
  <c r="A63" i="11"/>
  <c r="A64" i="11" s="1"/>
  <c r="A65" i="11" s="1"/>
  <c r="H54" i="12"/>
  <c r="L105" i="10"/>
  <c r="H102" i="9" s="1"/>
  <c r="A35" i="12"/>
  <c r="A36" i="12" s="1"/>
  <c r="A37" i="12" s="1"/>
  <c r="A38" i="12" s="1"/>
  <c r="A39" i="12" s="1"/>
  <c r="A40" i="12" s="1"/>
  <c r="A41" i="12" s="1"/>
  <c r="A42" i="12" s="1"/>
  <c r="A43" i="12" s="1"/>
  <c r="A44" i="12" s="1"/>
  <c r="A45" i="12" s="1"/>
  <c r="A46" i="12" s="1"/>
  <c r="A47" i="12" s="1"/>
  <c r="A48" i="12" s="1"/>
  <c r="B54" i="9" l="1"/>
  <c r="C54" i="9"/>
  <c r="D54" i="9"/>
  <c r="F1" i="9" l="1"/>
  <c r="F1" i="1"/>
  <c r="J1" i="10"/>
  <c r="G1" i="11"/>
  <c r="J102" i="10" l="1"/>
  <c r="L81" i="10" l="1"/>
  <c r="G79" i="9" s="1"/>
  <c r="I71" i="2"/>
  <c r="I72" i="2"/>
  <c r="I73" i="2"/>
  <c r="I74" i="2"/>
  <c r="I34" i="2"/>
  <c r="L119" i="10"/>
  <c r="G68" i="2"/>
  <c r="F64" i="2"/>
  <c r="B61" i="2"/>
  <c r="C61" i="2"/>
  <c r="D61" i="2"/>
  <c r="B62" i="2"/>
  <c r="C62" i="2"/>
  <c r="D62" i="2"/>
  <c r="B63" i="2"/>
  <c r="C63" i="2"/>
  <c r="D63" i="2"/>
  <c r="E63" i="2"/>
  <c r="B64" i="2"/>
  <c r="C64" i="2"/>
  <c r="D64" i="2"/>
  <c r="B65" i="2"/>
  <c r="C65" i="2"/>
  <c r="D65" i="2"/>
  <c r="B66" i="2"/>
  <c r="C66" i="2"/>
  <c r="D66" i="2"/>
  <c r="B67" i="2"/>
  <c r="C67" i="2"/>
  <c r="D67" i="2"/>
  <c r="B68" i="2"/>
  <c r="C68" i="2"/>
  <c r="D68" i="2"/>
  <c r="B69" i="2"/>
  <c r="C69" i="2"/>
  <c r="D69" i="2"/>
  <c r="B70" i="2"/>
  <c r="C70" i="2"/>
  <c r="D70" i="2"/>
  <c r="B71" i="2"/>
  <c r="C71" i="2"/>
  <c r="D71" i="2"/>
  <c r="H71" i="2"/>
  <c r="B72" i="2"/>
  <c r="C72" i="2"/>
  <c r="D72" i="2"/>
  <c r="H72" i="2"/>
  <c r="B73" i="2"/>
  <c r="C73" i="2"/>
  <c r="D73" i="2"/>
  <c r="H73" i="2"/>
  <c r="B74" i="2"/>
  <c r="C74" i="2"/>
  <c r="D74" i="2"/>
  <c r="H74" i="2"/>
  <c r="F61" i="12"/>
  <c r="L76" i="10" s="1"/>
  <c r="E74" i="9" s="1"/>
  <c r="F62" i="12"/>
  <c r="E62" i="2" s="1"/>
  <c r="E1" i="10"/>
  <c r="A1" i="9" s="1"/>
  <c r="A1" i="11"/>
  <c r="A1" i="1" s="1"/>
  <c r="A1" i="2"/>
  <c r="G52" i="2"/>
  <c r="F72" i="12"/>
  <c r="L75" i="10" s="1"/>
  <c r="E73" i="9" s="1"/>
  <c r="G73" i="12"/>
  <c r="F73" i="2" s="1"/>
  <c r="G66" i="12"/>
  <c r="F66" i="2" s="1"/>
  <c r="F50" i="2"/>
  <c r="B51" i="9"/>
  <c r="C51" i="9"/>
  <c r="D51" i="9"/>
  <c r="B52" i="9"/>
  <c r="C52" i="9"/>
  <c r="D52" i="9"/>
  <c r="B49" i="9"/>
  <c r="C49" i="9"/>
  <c r="D49" i="9"/>
  <c r="L51" i="10"/>
  <c r="F49" i="9" s="1"/>
  <c r="B36" i="9"/>
  <c r="C36" i="9"/>
  <c r="D36" i="9"/>
  <c r="L48" i="10"/>
  <c r="G46" i="9" s="1"/>
  <c r="L38" i="10"/>
  <c r="G36" i="9" s="1"/>
  <c r="D46" i="9"/>
  <c r="B46" i="9"/>
  <c r="C46" i="9"/>
  <c r="B40" i="2"/>
  <c r="C40" i="2"/>
  <c r="D40" i="2"/>
  <c r="F40" i="2"/>
  <c r="B41" i="2"/>
  <c r="C41" i="2"/>
  <c r="D41" i="2"/>
  <c r="F41" i="2"/>
  <c r="B42" i="2"/>
  <c r="C42" i="2"/>
  <c r="D42" i="2"/>
  <c r="F42" i="2"/>
  <c r="B43" i="2"/>
  <c r="C43" i="2"/>
  <c r="D43" i="2"/>
  <c r="F43" i="2"/>
  <c r="B44" i="2"/>
  <c r="C44" i="2"/>
  <c r="D44" i="2"/>
  <c r="F44" i="2"/>
  <c r="B45" i="2"/>
  <c r="C45" i="2"/>
  <c r="D45" i="2"/>
  <c r="F45" i="2"/>
  <c r="B46" i="2"/>
  <c r="C46" i="2"/>
  <c r="D46" i="2"/>
  <c r="F46" i="2"/>
  <c r="B47" i="2"/>
  <c r="C47" i="2"/>
  <c r="D47" i="2"/>
  <c r="F47" i="2"/>
  <c r="B48" i="2"/>
  <c r="C48" i="2"/>
  <c r="D48" i="2"/>
  <c r="F48" i="2"/>
  <c r="B49" i="2"/>
  <c r="C49" i="2"/>
  <c r="D49" i="2"/>
  <c r="B50" i="2"/>
  <c r="C50" i="2"/>
  <c r="D50" i="2"/>
  <c r="B51" i="2"/>
  <c r="C51" i="2"/>
  <c r="D51" i="2"/>
  <c r="B52" i="2"/>
  <c r="C52" i="2"/>
  <c r="D52" i="2"/>
  <c r="B53" i="2"/>
  <c r="C53" i="2"/>
  <c r="D53" i="2"/>
  <c r="F53" i="2"/>
  <c r="B54" i="2"/>
  <c r="C54" i="2"/>
  <c r="D54" i="2"/>
  <c r="B55" i="2"/>
  <c r="C55" i="2"/>
  <c r="D55" i="2"/>
  <c r="F55" i="2"/>
  <c r="B56" i="2"/>
  <c r="C56" i="2"/>
  <c r="D56" i="2"/>
  <c r="F56" i="2"/>
  <c r="B57" i="2"/>
  <c r="C57" i="2"/>
  <c r="D57" i="2"/>
  <c r="F57" i="2"/>
  <c r="B58" i="2"/>
  <c r="C58" i="2"/>
  <c r="D58" i="2"/>
  <c r="B59" i="2"/>
  <c r="C59" i="2"/>
  <c r="D59" i="2"/>
  <c r="E59" i="2"/>
  <c r="B60" i="2"/>
  <c r="C60" i="2"/>
  <c r="D60" i="2"/>
  <c r="C34" i="2"/>
  <c r="D34" i="2"/>
  <c r="E34" i="2"/>
  <c r="H34" i="2"/>
  <c r="B34" i="2"/>
  <c r="A34" i="2"/>
  <c r="F32" i="2"/>
  <c r="F31" i="2"/>
  <c r="F30" i="2"/>
  <c r="F29" i="2"/>
  <c r="F28" i="2"/>
  <c r="F27" i="2"/>
  <c r="F26" i="2"/>
  <c r="F25" i="2"/>
  <c r="F24" i="2"/>
  <c r="F23" i="2"/>
  <c r="F22" i="2"/>
  <c r="F21" i="2"/>
  <c r="F20" i="2"/>
  <c r="F19" i="2"/>
  <c r="F3" i="2"/>
  <c r="F4" i="2"/>
  <c r="F5" i="2"/>
  <c r="F6" i="2"/>
  <c r="F7" i="2"/>
  <c r="F8" i="2"/>
  <c r="F9" i="2"/>
  <c r="F10" i="2"/>
  <c r="F11" i="2"/>
  <c r="F12" i="2"/>
  <c r="F2" i="2"/>
  <c r="B43" i="1"/>
  <c r="C43" i="1"/>
  <c r="D43" i="1"/>
  <c r="B44" i="1"/>
  <c r="C44" i="1"/>
  <c r="D44" i="1"/>
  <c r="F44" i="1"/>
  <c r="B45" i="1"/>
  <c r="C45" i="1"/>
  <c r="D45" i="1"/>
  <c r="F45" i="1"/>
  <c r="B46" i="1"/>
  <c r="C46" i="1"/>
  <c r="D46" i="1"/>
  <c r="F46" i="1"/>
  <c r="B47" i="1"/>
  <c r="C47" i="1"/>
  <c r="D47" i="1"/>
  <c r="F47" i="1"/>
  <c r="B48" i="1"/>
  <c r="C48" i="1"/>
  <c r="D48" i="1"/>
  <c r="F48" i="1"/>
  <c r="B49" i="1"/>
  <c r="C49" i="1"/>
  <c r="B50" i="1"/>
  <c r="C50" i="1"/>
  <c r="D50" i="1"/>
  <c r="F50" i="1"/>
  <c r="B51" i="1"/>
  <c r="C51" i="1"/>
  <c r="D51" i="1"/>
  <c r="B52" i="1"/>
  <c r="C52" i="1"/>
  <c r="D52" i="1"/>
  <c r="B53" i="1"/>
  <c r="C53" i="1"/>
  <c r="D53" i="1"/>
  <c r="B54" i="1"/>
  <c r="C54" i="1"/>
  <c r="D54" i="1"/>
  <c r="B55" i="1"/>
  <c r="C55" i="1"/>
  <c r="D55" i="1"/>
  <c r="B56" i="1"/>
  <c r="C56" i="1"/>
  <c r="D56" i="1"/>
  <c r="E56" i="1"/>
  <c r="B57" i="1"/>
  <c r="C57" i="1"/>
  <c r="D57" i="1"/>
  <c r="B58" i="1"/>
  <c r="C58" i="1"/>
  <c r="D58" i="1"/>
  <c r="B59" i="1"/>
  <c r="C59" i="1"/>
  <c r="D59" i="1"/>
  <c r="B60" i="1"/>
  <c r="C60" i="1"/>
  <c r="D60" i="1"/>
  <c r="B61" i="1"/>
  <c r="C61" i="1"/>
  <c r="D61" i="1"/>
  <c r="E61" i="1"/>
  <c r="B62" i="1"/>
  <c r="C62" i="1"/>
  <c r="D62" i="1"/>
  <c r="B66" i="1"/>
  <c r="C66" i="1"/>
  <c r="D66" i="1"/>
  <c r="F66" i="1"/>
  <c r="B67" i="1"/>
  <c r="C67" i="1"/>
  <c r="D67" i="1"/>
  <c r="B68" i="1"/>
  <c r="C68" i="1"/>
  <c r="D68" i="1"/>
  <c r="F68" i="1"/>
  <c r="B69" i="1"/>
  <c r="C69" i="1"/>
  <c r="D69" i="1"/>
  <c r="F69" i="1"/>
  <c r="B70" i="1"/>
  <c r="C70" i="1"/>
  <c r="D70" i="1"/>
  <c r="F70" i="1"/>
  <c r="B71" i="1"/>
  <c r="C71" i="1"/>
  <c r="D71" i="1"/>
  <c r="F71" i="1"/>
  <c r="B72" i="1"/>
  <c r="C72" i="1"/>
  <c r="D72" i="1"/>
  <c r="F72" i="1"/>
  <c r="B73" i="1"/>
  <c r="C73" i="1"/>
  <c r="D73" i="1"/>
  <c r="B74" i="1"/>
  <c r="C74" i="1"/>
  <c r="D74" i="1"/>
  <c r="E74" i="1"/>
  <c r="B75" i="1"/>
  <c r="C75" i="1"/>
  <c r="D75" i="1"/>
  <c r="B76" i="1"/>
  <c r="C76" i="1"/>
  <c r="D76" i="1"/>
  <c r="B77" i="1"/>
  <c r="C77" i="1"/>
  <c r="B78" i="1"/>
  <c r="C78" i="1"/>
  <c r="B79" i="1"/>
  <c r="C79" i="1"/>
  <c r="D79" i="1"/>
  <c r="F79" i="1"/>
  <c r="B80" i="1"/>
  <c r="C80" i="1"/>
  <c r="D80" i="1"/>
  <c r="F80" i="1"/>
  <c r="B81" i="1"/>
  <c r="C81" i="1"/>
  <c r="D81" i="1"/>
  <c r="F81" i="1"/>
  <c r="B82" i="1"/>
  <c r="C82" i="1"/>
  <c r="D82" i="1"/>
  <c r="B83" i="1"/>
  <c r="C83" i="1"/>
  <c r="D83" i="1"/>
  <c r="B84" i="1"/>
  <c r="C84" i="1"/>
  <c r="D84" i="1"/>
  <c r="B85" i="1"/>
  <c r="C85" i="1"/>
  <c r="D85" i="1"/>
  <c r="B86" i="1"/>
  <c r="C86" i="1"/>
  <c r="D86" i="1"/>
  <c r="B35" i="1"/>
  <c r="C35" i="1"/>
  <c r="D35" i="1"/>
  <c r="F35" i="1"/>
  <c r="B36" i="1"/>
  <c r="C36" i="1"/>
  <c r="D36" i="1"/>
  <c r="F36" i="1"/>
  <c r="B37" i="1"/>
  <c r="C37" i="1"/>
  <c r="D37" i="1"/>
  <c r="F37" i="1"/>
  <c r="B38" i="1"/>
  <c r="C38" i="1"/>
  <c r="D38" i="1"/>
  <c r="F38" i="1"/>
  <c r="B39" i="1"/>
  <c r="C39" i="1"/>
  <c r="D39" i="1"/>
  <c r="F39" i="1"/>
  <c r="B40" i="1"/>
  <c r="C40" i="1"/>
  <c r="D40" i="1"/>
  <c r="F40" i="1"/>
  <c r="B41" i="1"/>
  <c r="C41" i="1"/>
  <c r="D41" i="1"/>
  <c r="B42" i="1"/>
  <c r="C42" i="1"/>
  <c r="D42" i="1"/>
  <c r="E42" i="1"/>
  <c r="F34" i="1"/>
  <c r="C34" i="1"/>
  <c r="D34" i="1"/>
  <c r="B34" i="1"/>
  <c r="A34" i="1"/>
  <c r="F3" i="1"/>
  <c r="F2" i="1"/>
  <c r="F3" i="9"/>
  <c r="F2" i="9"/>
  <c r="L90" i="10"/>
  <c r="F88" i="9" s="1"/>
  <c r="L41" i="10"/>
  <c r="H39" i="9" s="1"/>
  <c r="H58" i="12"/>
  <c r="G56" i="2"/>
  <c r="F42" i="9"/>
  <c r="H43" i="9"/>
  <c r="B34" i="9"/>
  <c r="C34" i="9"/>
  <c r="D34" i="9"/>
  <c r="B35" i="9"/>
  <c r="C35" i="9"/>
  <c r="D35" i="9"/>
  <c r="B37" i="9"/>
  <c r="C37" i="9"/>
  <c r="D37" i="9"/>
  <c r="B38" i="9"/>
  <c r="C38" i="9"/>
  <c r="D38" i="9"/>
  <c r="B39" i="9"/>
  <c r="C39" i="9"/>
  <c r="D39" i="9"/>
  <c r="B40" i="9"/>
  <c r="C40" i="9"/>
  <c r="D40" i="9"/>
  <c r="B41" i="9"/>
  <c r="C41" i="9"/>
  <c r="D41" i="9"/>
  <c r="B42" i="9"/>
  <c r="C42" i="9"/>
  <c r="D42" i="9"/>
  <c r="B43" i="9"/>
  <c r="C43" i="9"/>
  <c r="D43" i="9"/>
  <c r="B44" i="9"/>
  <c r="C44" i="9"/>
  <c r="D44" i="9"/>
  <c r="B45" i="9"/>
  <c r="C45" i="9"/>
  <c r="D45" i="9"/>
  <c r="B47" i="9"/>
  <c r="C47" i="9"/>
  <c r="D47" i="9"/>
  <c r="B48" i="9"/>
  <c r="C48" i="9"/>
  <c r="D48" i="9"/>
  <c r="B50" i="9"/>
  <c r="C50" i="9"/>
  <c r="D50" i="9"/>
  <c r="B53" i="9"/>
  <c r="C53" i="9"/>
  <c r="D53" i="9"/>
  <c r="G65" i="12"/>
  <c r="G49" i="12"/>
  <c r="G51" i="12" s="1"/>
  <c r="G53" i="2" s="1"/>
  <c r="E78" i="11"/>
  <c r="D78" i="1" s="1"/>
  <c r="E77" i="11"/>
  <c r="D77" i="1" s="1"/>
  <c r="G73" i="11"/>
  <c r="E49" i="11"/>
  <c r="D49" i="1" s="1"/>
  <c r="G41" i="11"/>
  <c r="F41" i="1" s="1"/>
  <c r="A35" i="11"/>
  <c r="A35" i="1"/>
  <c r="G32" i="11"/>
  <c r="F32" i="1" s="1"/>
  <c r="G31" i="11"/>
  <c r="F31" i="1" s="1"/>
  <c r="G30" i="11"/>
  <c r="F30" i="1" s="1"/>
  <c r="G29" i="11"/>
  <c r="F29" i="1" s="1"/>
  <c r="G28" i="11"/>
  <c r="F28" i="1" s="1"/>
  <c r="G27" i="11"/>
  <c r="F27" i="1" s="1"/>
  <c r="G26" i="11"/>
  <c r="F26" i="1" s="1"/>
  <c r="G25" i="11"/>
  <c r="F25" i="1" s="1"/>
  <c r="G24" i="11"/>
  <c r="F24" i="1" s="1"/>
  <c r="G23" i="11"/>
  <c r="F23" i="1" s="1"/>
  <c r="G22" i="11"/>
  <c r="F22" i="1" s="1"/>
  <c r="G21" i="11"/>
  <c r="F21" i="1" s="1"/>
  <c r="G19" i="11"/>
  <c r="F19" i="1" s="1"/>
  <c r="G12" i="11"/>
  <c r="F12" i="1" s="1"/>
  <c r="G11" i="11"/>
  <c r="F11" i="1" s="1"/>
  <c r="G10" i="11"/>
  <c r="F10" i="1" s="1"/>
  <c r="G9" i="11"/>
  <c r="F9" i="1" s="1"/>
  <c r="G8" i="11"/>
  <c r="F8" i="1" s="1"/>
  <c r="G7" i="11"/>
  <c r="F7" i="1" s="1"/>
  <c r="G5" i="11"/>
  <c r="F5" i="1" s="1"/>
  <c r="G4" i="11"/>
  <c r="F4" i="1" s="1"/>
  <c r="L113" i="10"/>
  <c r="G109" i="9" s="1"/>
  <c r="L94" i="10"/>
  <c r="G92" i="9" s="1"/>
  <c r="L93" i="10"/>
  <c r="H91" i="9" s="1"/>
  <c r="L50" i="10"/>
  <c r="H48" i="9" s="1"/>
  <c r="L47" i="10"/>
  <c r="H45" i="9" s="1"/>
  <c r="L42" i="10"/>
  <c r="H40" i="9" s="1"/>
  <c r="L40" i="10"/>
  <c r="H38" i="9" s="1"/>
  <c r="A34" i="9"/>
  <c r="I34" i="10"/>
  <c r="F32" i="9" s="1"/>
  <c r="I33" i="10"/>
  <c r="F31" i="9" s="1"/>
  <c r="I32" i="10"/>
  <c r="F30" i="9" s="1"/>
  <c r="I31" i="10"/>
  <c r="F29" i="9" s="1"/>
  <c r="I30" i="10"/>
  <c r="F28" i="9" s="1"/>
  <c r="I29" i="10"/>
  <c r="F27" i="9" s="1"/>
  <c r="I28" i="10"/>
  <c r="F26" i="9" s="1"/>
  <c r="I27" i="10"/>
  <c r="F25" i="9" s="1"/>
  <c r="I26" i="10"/>
  <c r="F24" i="9" s="1"/>
  <c r="I25" i="10"/>
  <c r="F23" i="9" s="1"/>
  <c r="C28" i="10"/>
  <c r="C29" i="10" s="1"/>
  <c r="I24" i="10"/>
  <c r="F22" i="9" s="1"/>
  <c r="I23" i="10"/>
  <c r="F21" i="9" s="1"/>
  <c r="I21" i="10"/>
  <c r="F19" i="9" s="1"/>
  <c r="I11" i="10"/>
  <c r="F11" i="9" s="1"/>
  <c r="F10" i="9"/>
  <c r="F9" i="9"/>
  <c r="F8" i="9"/>
  <c r="I5" i="10"/>
  <c r="F5" i="9" s="1"/>
  <c r="I4" i="10"/>
  <c r="F4" i="9" s="1"/>
  <c r="G43" i="11"/>
  <c r="E37" i="10"/>
  <c r="A35" i="9" s="1"/>
  <c r="A36" i="11"/>
  <c r="A37" i="11" s="1"/>
  <c r="A38" i="11" s="1"/>
  <c r="A38" i="1" s="1"/>
  <c r="A36" i="1"/>
  <c r="A39" i="11"/>
  <c r="A39" i="1" s="1"/>
  <c r="F38" i="12"/>
  <c r="F49" i="2"/>
  <c r="E60" i="2"/>
  <c r="L92" i="10"/>
  <c r="G90" i="9" s="1"/>
  <c r="A37" i="1" l="1"/>
  <c r="E61" i="2"/>
  <c r="G54" i="2"/>
  <c r="G76" i="11"/>
  <c r="F76" i="1" s="1"/>
  <c r="F51" i="2"/>
  <c r="E72" i="2"/>
  <c r="L89" i="10"/>
  <c r="G87" i="9" s="1"/>
  <c r="L83" i="10"/>
  <c r="G81" i="9" s="1"/>
  <c r="L95" i="10"/>
  <c r="G93" i="9" s="1"/>
  <c r="L77" i="10"/>
  <c r="E75" i="9" s="1"/>
  <c r="L74" i="10"/>
  <c r="H72" i="9" s="1"/>
  <c r="G74" i="2"/>
  <c r="F43" i="1"/>
  <c r="L49" i="10"/>
  <c r="H47" i="9" s="1"/>
  <c r="F73" i="1"/>
  <c r="G75" i="11"/>
  <c r="L37" i="10"/>
  <c r="A40" i="11"/>
  <c r="E38" i="10"/>
  <c r="L91" i="10"/>
  <c r="G89" i="9" s="1"/>
  <c r="L88" i="10"/>
  <c r="F86" i="9" s="1"/>
  <c r="F7" i="9"/>
  <c r="L117" i="10"/>
  <c r="F112" i="9" s="1"/>
  <c r="G58" i="2"/>
  <c r="G51" i="11"/>
  <c r="F65" i="2"/>
  <c r="G67" i="12"/>
  <c r="L84" i="10" l="1"/>
  <c r="H82" i="9" s="1"/>
  <c r="L87" i="10"/>
  <c r="E85" i="9" s="1"/>
  <c r="L52" i="10"/>
  <c r="H50" i="9" s="1"/>
  <c r="L78" i="10"/>
  <c r="H76" i="9" s="1"/>
  <c r="L39" i="10"/>
  <c r="H37" i="9" s="1"/>
  <c r="F75" i="1"/>
  <c r="F67" i="2"/>
  <c r="H69" i="12"/>
  <c r="H70" i="12"/>
  <c r="L120" i="10"/>
  <c r="E115" i="9" s="1"/>
  <c r="A40" i="1"/>
  <c r="A41" i="11"/>
  <c r="L54" i="10"/>
  <c r="H52" i="9" s="1"/>
  <c r="F51" i="1"/>
  <c r="E39" i="10"/>
  <c r="A36" i="9"/>
  <c r="H35" i="9"/>
  <c r="L85" i="10" l="1"/>
  <c r="H83" i="9" s="1"/>
  <c r="L53" i="10"/>
  <c r="L55" i="10" s="1"/>
  <c r="L79" i="10"/>
  <c r="H77" i="9" s="1"/>
  <c r="L46" i="10"/>
  <c r="G70" i="2"/>
  <c r="G83" i="11"/>
  <c r="G69" i="2"/>
  <c r="G67" i="11"/>
  <c r="A41" i="1"/>
  <c r="A42" i="11"/>
  <c r="A37" i="9"/>
  <c r="E40" i="10"/>
  <c r="H51" i="9" l="1"/>
  <c r="H44" i="9"/>
  <c r="L82" i="10"/>
  <c r="H80" i="9" s="1"/>
  <c r="A42" i="1"/>
  <c r="A43" i="11"/>
  <c r="F83" i="1"/>
  <c r="L43" i="10"/>
  <c r="F67" i="1"/>
  <c r="E41" i="10"/>
  <c r="A38" i="9"/>
  <c r="H53" i="9"/>
  <c r="H41" i="9" l="1"/>
  <c r="L104" i="10"/>
  <c r="H101" i="9" s="1"/>
  <c r="L56" i="10"/>
  <c r="H54" i="9" s="1"/>
  <c r="L125" i="10"/>
  <c r="H120" i="9" s="1"/>
  <c r="L96" i="10"/>
  <c r="F94" i="9" s="1"/>
  <c r="A39" i="9"/>
  <c r="E42" i="10"/>
  <c r="A44" i="11"/>
  <c r="A43" i="1"/>
  <c r="H34" i="9"/>
  <c r="G49" i="11" l="1"/>
  <c r="G52" i="11" s="1"/>
  <c r="F52" i="1" s="1"/>
  <c r="L115" i="10"/>
  <c r="H110" i="9" s="1"/>
  <c r="A45" i="11"/>
  <c r="A44" i="1"/>
  <c r="E43" i="10"/>
  <c r="A40" i="9"/>
  <c r="L106" i="10" l="1"/>
  <c r="F103" i="9" s="1"/>
  <c r="F49" i="1"/>
  <c r="L63" i="10"/>
  <c r="H61" i="9" s="1"/>
  <c r="A46" i="11"/>
  <c r="A45" i="1"/>
  <c r="A41" i="9"/>
  <c r="E44" i="10"/>
  <c r="H69" i="9" l="1"/>
  <c r="E45" i="10"/>
  <c r="A42" i="9"/>
  <c r="A46" i="1"/>
  <c r="A47" i="11"/>
  <c r="L72" i="10" l="1"/>
  <c r="H70" i="9" s="1"/>
  <c r="A47" i="1"/>
  <c r="A48" i="11"/>
  <c r="A43" i="9"/>
  <c r="E46" i="10"/>
  <c r="L73" i="10" l="1"/>
  <c r="H71" i="9" s="1"/>
  <c r="L97" i="10"/>
  <c r="G95" i="9" s="1"/>
  <c r="A49" i="11"/>
  <c r="A48" i="1"/>
  <c r="E47" i="10"/>
  <c r="A44" i="9"/>
  <c r="L123" i="10" l="1"/>
  <c r="H118" i="9" s="1"/>
  <c r="L102" i="10"/>
  <c r="H99" i="9" s="1"/>
  <c r="L86" i="10"/>
  <c r="H84" i="9" s="1"/>
  <c r="L98" i="10"/>
  <c r="H96" i="9" s="1"/>
  <c r="A49" i="1"/>
  <c r="A50" i="11"/>
  <c r="A45" i="9"/>
  <c r="E48" i="10"/>
  <c r="L103" i="10" l="1"/>
  <c r="H100" i="9" s="1"/>
  <c r="L99" i="10"/>
  <c r="G97" i="9" s="1"/>
  <c r="L124" i="10"/>
  <c r="H119" i="9" s="1"/>
  <c r="A49" i="12"/>
  <c r="A50" i="1"/>
  <c r="A51" i="11"/>
  <c r="E49" i="10"/>
  <c r="A46" i="9"/>
  <c r="G78" i="11" l="1"/>
  <c r="F78" i="1" s="1"/>
  <c r="L101" i="10"/>
  <c r="L116" i="10" s="1"/>
  <c r="H111" i="9" s="1"/>
  <c r="A51" i="1"/>
  <c r="A52" i="11"/>
  <c r="A47" i="9"/>
  <c r="E50" i="10"/>
  <c r="A50" i="12"/>
  <c r="L121" i="10" l="1"/>
  <c r="H116" i="9" s="1"/>
  <c r="E51" i="10"/>
  <c r="A48" i="9"/>
  <c r="A53" i="11"/>
  <c r="A52" i="1"/>
  <c r="A51" i="12"/>
  <c r="L110" i="10" l="1"/>
  <c r="A53" i="1"/>
  <c r="A54" i="11"/>
  <c r="A52" i="12"/>
  <c r="A49" i="9"/>
  <c r="E52" i="10"/>
  <c r="L122" i="10" l="1"/>
  <c r="H117" i="9" s="1"/>
  <c r="H106" i="9"/>
  <c r="A53" i="12"/>
  <c r="A54" i="1"/>
  <c r="A55" i="11"/>
  <c r="E53" i="10"/>
  <c r="A50" i="9"/>
  <c r="G77" i="11" l="1"/>
  <c r="F77" i="1" s="1"/>
  <c r="G82" i="11"/>
  <c r="A55" i="1"/>
  <c r="A56" i="11"/>
  <c r="A51" i="9"/>
  <c r="E54" i="10"/>
  <c r="A54" i="12"/>
  <c r="G84" i="11" l="1"/>
  <c r="F82" i="1"/>
  <c r="E55" i="10"/>
  <c r="A52" i="9"/>
  <c r="A56" i="1"/>
  <c r="A57" i="11"/>
  <c r="A55" i="12"/>
  <c r="E56" i="10" l="1"/>
  <c r="E57" i="10" s="1"/>
  <c r="G85" i="11"/>
  <c r="F84" i="1"/>
  <c r="A57" i="1"/>
  <c r="A58" i="11"/>
  <c r="A56" i="12"/>
  <c r="A53" i="9"/>
  <c r="E58" i="10" l="1"/>
  <c r="A55" i="9"/>
  <c r="A54" i="9"/>
  <c r="G86" i="11"/>
  <c r="F86" i="1" s="1"/>
  <c r="G53" i="11"/>
  <c r="F85" i="1"/>
  <c r="A58" i="1"/>
  <c r="A59" i="11"/>
  <c r="A57" i="12"/>
  <c r="E59" i="10" l="1"/>
  <c r="A56" i="9"/>
  <c r="F53" i="1"/>
  <c r="G54" i="11"/>
  <c r="A58" i="12"/>
  <c r="A59" i="1"/>
  <c r="A60" i="11"/>
  <c r="A57" i="9" l="1"/>
  <c r="E60" i="10"/>
  <c r="G55" i="11"/>
  <c r="F54" i="1"/>
  <c r="A60" i="1"/>
  <c r="A61" i="11"/>
  <c r="A59" i="12"/>
  <c r="A58" i="9" l="1"/>
  <c r="E61" i="10"/>
  <c r="F55" i="1"/>
  <c r="G57" i="11"/>
  <c r="A61" i="1"/>
  <c r="A62" i="11"/>
  <c r="A60" i="12"/>
  <c r="E62" i="10" l="1"/>
  <c r="A59" i="9"/>
  <c r="F57" i="1"/>
  <c r="G58" i="11"/>
  <c r="A62" i="1"/>
  <c r="A61" i="12"/>
  <c r="E63" i="10" l="1"/>
  <c r="A60" i="9"/>
  <c r="G59" i="11"/>
  <c r="F59" i="1" s="1"/>
  <c r="F58" i="1"/>
  <c r="A62" i="12"/>
  <c r="A61" i="9" l="1"/>
  <c r="G60" i="11"/>
  <c r="F60" i="1" s="1"/>
  <c r="A63" i="12"/>
  <c r="A69" i="9" l="1"/>
  <c r="G62" i="11"/>
  <c r="F62" i="1" s="1"/>
  <c r="A64" i="12"/>
  <c r="A70" i="9" l="1"/>
  <c r="A65" i="12"/>
  <c r="A71" i="9" l="1"/>
  <c r="A66" i="12"/>
  <c r="A72" i="9" l="1"/>
  <c r="A67" i="12"/>
  <c r="A74" i="9" l="1"/>
  <c r="A73" i="9"/>
  <c r="A68" i="12"/>
  <c r="A69" i="12" l="1"/>
  <c r="A70" i="12" l="1"/>
  <c r="A71" i="12" l="1"/>
  <c r="A72" i="12" l="1"/>
  <c r="A73" i="12" l="1"/>
  <c r="A74" i="12" l="1"/>
  <c r="E77" i="10" l="1"/>
  <c r="A75" i="9" s="1"/>
  <c r="E78" i="10" l="1"/>
  <c r="A76" i="9" s="1"/>
  <c r="E79" i="10" l="1"/>
  <c r="A77" i="9" s="1"/>
  <c r="E80" i="10" l="1"/>
  <c r="A78" i="9" s="1"/>
  <c r="E81" i="10" l="1"/>
  <c r="A79" i="9" s="1"/>
  <c r="E82" i="10" l="1"/>
  <c r="A80" i="9" s="1"/>
  <c r="E83" i="10" l="1"/>
  <c r="A81" i="9" s="1"/>
  <c r="E84" i="10" l="1"/>
  <c r="A82" i="9" s="1"/>
  <c r="E85" i="10" l="1"/>
  <c r="A83" i="9" s="1"/>
  <c r="E86" i="10" l="1"/>
  <c r="A84" i="9" s="1"/>
  <c r="E87" i="10" l="1"/>
  <c r="A85" i="9" s="1"/>
  <c r="E88" i="10" l="1"/>
  <c r="A86" i="9" s="1"/>
  <c r="E89" i="10" l="1"/>
  <c r="A87" i="9" s="1"/>
  <c r="E90" i="10" l="1"/>
  <c r="A88" i="9" s="1"/>
  <c r="E91" i="10" l="1"/>
  <c r="A89" i="9" s="1"/>
  <c r="E92" i="10" l="1"/>
  <c r="A90" i="9" s="1"/>
  <c r="E93" i="10" l="1"/>
  <c r="A91" i="9" s="1"/>
  <c r="E94" i="10" l="1"/>
  <c r="A92" i="9" s="1"/>
  <c r="E95" i="10" l="1"/>
  <c r="A93" i="9" s="1"/>
  <c r="E96" i="10" l="1"/>
  <c r="A94" i="9" s="1"/>
  <c r="E97" i="10" l="1"/>
  <c r="A95" i="9" s="1"/>
  <c r="E98" i="10" l="1"/>
  <c r="A96" i="9" s="1"/>
  <c r="E99" i="10" l="1"/>
  <c r="A97" i="9" s="1"/>
  <c r="E101" i="10" l="1"/>
  <c r="A98" i="9" s="1"/>
  <c r="E102" i="10"/>
  <c r="A99" i="9" s="1"/>
  <c r="E103" i="10" l="1"/>
  <c r="A100" i="9" s="1"/>
  <c r="E104" i="10" l="1"/>
  <c r="A101" i="9" s="1"/>
  <c r="E105" i="10" l="1"/>
  <c r="A102" i="9" s="1"/>
  <c r="E106" i="10" l="1"/>
  <c r="A103" i="9" s="1"/>
  <c r="E108" i="10" l="1"/>
  <c r="A104" i="9" s="1"/>
  <c r="E109" i="10" l="1"/>
  <c r="A105" i="9" s="1"/>
  <c r="E110" i="10" l="1"/>
  <c r="A106" i="9" s="1"/>
  <c r="E111" i="10" l="1"/>
  <c r="A107" i="9" s="1"/>
  <c r="E112" i="10" l="1"/>
  <c r="A108" i="9" s="1"/>
  <c r="E113" i="10" l="1"/>
  <c r="A109" i="9" s="1"/>
  <c r="E115" i="10" l="1"/>
  <c r="A110" i="9" s="1"/>
  <c r="E116" i="10" l="1"/>
  <c r="A111" i="9" s="1"/>
  <c r="E117" i="10" l="1"/>
  <c r="A112" i="9" s="1"/>
  <c r="E118" i="10" l="1"/>
  <c r="A113" i="9" s="1"/>
  <c r="E119" i="10" l="1"/>
  <c r="A114" i="9" s="1"/>
  <c r="E120" i="10" l="1"/>
  <c r="A115" i="9" s="1"/>
  <c r="E121" i="10" l="1"/>
  <c r="A116" i="9" s="1"/>
  <c r="E122" i="10" l="1"/>
  <c r="A117" i="9" s="1"/>
  <c r="E123" i="10" l="1"/>
  <c r="A118" i="9" s="1"/>
  <c r="E124" i="10" l="1"/>
  <c r="A119" i="9" s="1"/>
  <c r="E125" i="10" l="1"/>
  <c r="A120" i="9" s="1"/>
</calcChain>
</file>

<file path=xl/sharedStrings.xml><?xml version="1.0" encoding="utf-8"?>
<sst xmlns="http://schemas.openxmlformats.org/spreadsheetml/2006/main" count="1297" uniqueCount="563">
  <si>
    <t>ADDRESS1</t>
  </si>
  <si>
    <t>ADDRESS2</t>
  </si>
  <si>
    <t>CITY</t>
  </si>
  <si>
    <t>STATE</t>
  </si>
  <si>
    <t>ZIP</t>
  </si>
  <si>
    <t>REPORT MONTH</t>
  </si>
  <si>
    <t>PREPARER</t>
  </si>
  <si>
    <t>LEASE NUMBER</t>
  </si>
  <si>
    <t>PREPARER PHONE NUMBER</t>
  </si>
  <si>
    <t>PREPARER FAX NUMBER</t>
  </si>
  <si>
    <t>PHONE NUMBER</t>
  </si>
  <si>
    <t>FAX NUMBER</t>
  </si>
  <si>
    <t>AUTHORIZED SIGNATURE (CODE)</t>
  </si>
  <si>
    <t>AUTHORIZED DATE</t>
  </si>
  <si>
    <t>CUSTOMER ID NUMBER</t>
  </si>
  <si>
    <t>PRODUCTION MONTH</t>
  </si>
  <si>
    <t>CONTROL NUMBER</t>
  </si>
  <si>
    <t>REVISION NO.</t>
  </si>
  <si>
    <t>AUTHORIZED SIGNATURE (Printed Name)</t>
  </si>
  <si>
    <t>LINE NO.</t>
  </si>
  <si>
    <t>ALLOCATION CODE</t>
  </si>
  <si>
    <t>AMOUNT</t>
  </si>
  <si>
    <t>LESSEE NAME</t>
  </si>
  <si>
    <t>ACCOUNTING UNIT</t>
  </si>
  <si>
    <t>ACCOUNT CODE</t>
  </si>
  <si>
    <t>RATE</t>
  </si>
  <si>
    <t>ACCOUNTING UNIT CODE</t>
  </si>
  <si>
    <t>ACCOUNTING UNIT NAME</t>
  </si>
  <si>
    <t>PRODUCT CODE</t>
  </si>
  <si>
    <t>DISPOSITION CODE</t>
  </si>
  <si>
    <t>QUANTITY</t>
  </si>
  <si>
    <t>VALUE</t>
  </si>
  <si>
    <t>SELLING ARR CODE</t>
  </si>
  <si>
    <t>REPORT CODE</t>
  </si>
  <si>
    <t>AC</t>
  </si>
  <si>
    <t>VV</t>
  </si>
  <si>
    <t>AL</t>
  </si>
  <si>
    <t>PPT REPORT</t>
  </si>
  <si>
    <t>PT</t>
  </si>
  <si>
    <t>REPORT TYPE</t>
  </si>
  <si>
    <t>FILING TYPE</t>
  </si>
  <si>
    <t>Factors</t>
  </si>
  <si>
    <t>Code</t>
  </si>
  <si>
    <t>(NPSL Report)</t>
  </si>
  <si>
    <t>Overhead For Opex</t>
  </si>
  <si>
    <t>(PTLA Report)</t>
  </si>
  <si>
    <t>Overhead For Capex</t>
  </si>
  <si>
    <t>CEER</t>
  </si>
  <si>
    <t>Qualified Capex Credit Rate</t>
  </si>
  <si>
    <t>QCEC</t>
  </si>
  <si>
    <t>ACES Effective Date</t>
  </si>
  <si>
    <t>ACES</t>
  </si>
  <si>
    <t>THR2</t>
  </si>
  <si>
    <t>MUL2</t>
  </si>
  <si>
    <t>Adjustment Factor 2007</t>
  </si>
  <si>
    <t>AF7</t>
  </si>
  <si>
    <t>Adjustment Factor 2008</t>
  </si>
  <si>
    <t>AF8</t>
  </si>
  <si>
    <t>Adjustment Factor 2009</t>
  </si>
  <si>
    <t>AF9</t>
  </si>
  <si>
    <t>Start date for adjustment</t>
  </si>
  <si>
    <t>SD7</t>
  </si>
  <si>
    <t>Start date for 2nd year of adjustment</t>
  </si>
  <si>
    <t>SD8</t>
  </si>
  <si>
    <t>Start date for 3rd year of adjustment</t>
  </si>
  <si>
    <t>SD9</t>
  </si>
  <si>
    <t>End date for cap</t>
  </si>
  <si>
    <t>SD10</t>
  </si>
  <si>
    <t>ALLOCATION CODE DESCRIPTION</t>
  </si>
  <si>
    <t>REPORT/FORMULA</t>
  </si>
  <si>
    <t>REGULATIONS CITE</t>
  </si>
  <si>
    <t>PR</t>
  </si>
  <si>
    <t xml:space="preserve"> </t>
  </si>
  <si>
    <t>TCR</t>
  </si>
  <si>
    <t>TOI</t>
  </si>
  <si>
    <t>Total Overhead Items</t>
  </si>
  <si>
    <t>GOAE</t>
  </si>
  <si>
    <t>General Overhead and Admin. Expense</t>
  </si>
  <si>
    <t>AVT</t>
  </si>
  <si>
    <t>Ad Valorem Taxes</t>
  </si>
  <si>
    <t>NOP</t>
  </si>
  <si>
    <t>Non Operator Charges</t>
  </si>
  <si>
    <t>AANOH</t>
  </si>
  <si>
    <t>Audit Adjustments - Non-Overhead items</t>
  </si>
  <si>
    <t>TRYE</t>
  </si>
  <si>
    <t>Royalty payments</t>
  </si>
  <si>
    <t>KPRK</t>
  </si>
  <si>
    <t>11 AAC 83.241(a)(1)</t>
  </si>
  <si>
    <t>BNDCPT</t>
  </si>
  <si>
    <t>NDCPT</t>
  </si>
  <si>
    <t>Net Direct Charges Petroleum Production Tax Lease Allowance</t>
  </si>
  <si>
    <t>DV</t>
  </si>
  <si>
    <t>General Overhead &amp; Administrative Expense</t>
  </si>
  <si>
    <t>RTO</t>
  </si>
  <si>
    <t>Reimbursements to Operator (Capital)</t>
  </si>
  <si>
    <t>EXCAP</t>
  </si>
  <si>
    <t>Excluded capital (see AS 43.55.165(e)(18))</t>
  </si>
  <si>
    <t>QCE</t>
  </si>
  <si>
    <r>
      <t>= TOI</t>
    </r>
    <r>
      <rPr>
        <sz val="10"/>
        <color indexed="8"/>
        <rFont val="Calibri"/>
        <family val="2"/>
      </rPr>
      <t xml:space="preserve"> + RTO + EXCAP</t>
    </r>
  </si>
  <si>
    <t>11 AAC 83.220(a)</t>
  </si>
  <si>
    <t>CAPF</t>
  </si>
  <si>
    <t>Capital Access Fee</t>
  </si>
  <si>
    <t>TPTD</t>
  </si>
  <si>
    <r>
      <t xml:space="preserve">Total </t>
    </r>
    <r>
      <rPr>
        <sz val="10"/>
        <rFont val="Calibri"/>
        <family val="2"/>
      </rPr>
      <t>Petroleum Production Tax Lease Allowance Development Costs</t>
    </r>
  </si>
  <si>
    <t>= QCE + GOAE + CAPF</t>
  </si>
  <si>
    <t>PTNR</t>
  </si>
  <si>
    <t>Petroleum Production Tax Lease Allowance Net Revenue</t>
  </si>
  <si>
    <t>B</t>
  </si>
  <si>
    <t>TWIO</t>
  </si>
  <si>
    <t xml:space="preserve">Working Interest Ownership Volume (BOE) </t>
  </si>
  <si>
    <t>TRV</t>
  </si>
  <si>
    <t xml:space="preserve">Royalty Volume (BOE) </t>
  </si>
  <si>
    <t>PTWIO</t>
  </si>
  <si>
    <t>Petroleum Production Tax Lease Allowance Working Interest Owner Volume (BOE) net of Royalty Volume (BOE)</t>
  </si>
  <si>
    <t>Defined in Lease</t>
  </si>
  <si>
    <t>C</t>
  </si>
  <si>
    <t>PTLB</t>
  </si>
  <si>
    <t>Petroleum Production Tax Lease Allowance loss before production</t>
  </si>
  <si>
    <t>11 AAC 83.220(c)</t>
  </si>
  <si>
    <t>PTLBC</t>
  </si>
  <si>
    <t>Petroleum Production Tax Lease Allowance loss before production credit</t>
  </si>
  <si>
    <t>D</t>
  </si>
  <si>
    <t>11 AAC 83.241(c)</t>
  </si>
  <si>
    <t>Petroleum Production Tax Lease Allowance for Working Interest Owner Volumes (BOE) net of Royalty Volumes (BOE)</t>
  </si>
  <si>
    <t>THR1</t>
  </si>
  <si>
    <t>Threshold #1</t>
  </si>
  <si>
    <t>MUL1</t>
  </si>
  <si>
    <t>Threshold #2</t>
  </si>
  <si>
    <t>BEGB</t>
  </si>
  <si>
    <t>Beginning Balance</t>
  </si>
  <si>
    <t>NP</t>
  </si>
  <si>
    <t>NPR</t>
  </si>
  <si>
    <t>Net Profit Share Rate</t>
  </si>
  <si>
    <t>BTR</t>
  </si>
  <si>
    <t>Base Tax Rate</t>
  </si>
  <si>
    <t>POS</t>
  </si>
  <si>
    <t>Payout Status Estimate</t>
  </si>
  <si>
    <t>NPDF</t>
  </si>
  <si>
    <t>PTNRB</t>
  </si>
  <si>
    <t>PTPIR</t>
  </si>
  <si>
    <t xml:space="preserve">Petroleum Production Tax Lease Allowance Price Index Rate </t>
  </si>
  <si>
    <t>PTPI</t>
  </si>
  <si>
    <r>
      <rPr>
        <sz val="10"/>
        <rFont val="Calibri"/>
        <family val="2"/>
      </rPr>
      <t>Petroleum Production Tax Lease Allowance</t>
    </r>
    <r>
      <rPr>
        <sz val="10"/>
        <color indexed="8"/>
        <rFont val="Calibri"/>
        <family val="2"/>
      </rPr>
      <t xml:space="preserve">  Price Index </t>
    </r>
  </si>
  <si>
    <t>E</t>
  </si>
  <si>
    <r>
      <rPr>
        <sz val="10"/>
        <rFont val="Calibri"/>
        <family val="2"/>
      </rPr>
      <t>Petroleum Production Tax Lease</t>
    </r>
    <r>
      <rPr>
        <sz val="10"/>
        <color indexed="8"/>
        <rFont val="Calibri"/>
        <family val="2"/>
      </rPr>
      <t xml:space="preserve"> Allowance Net Revenue </t>
    </r>
  </si>
  <si>
    <t>11 AAC 83.241(b)(1)</t>
  </si>
  <si>
    <t>PTSE</t>
  </si>
  <si>
    <t xml:space="preserve">Petroleum Production Tax Lease Allowance Section (e) </t>
  </si>
  <si>
    <t>GVPOP</t>
  </si>
  <si>
    <t>Gross Value at Point of Production</t>
  </si>
  <si>
    <t>= TCR + TRYE</t>
  </si>
  <si>
    <t>ANS</t>
  </si>
  <si>
    <t>West Coast ANS price</t>
  </si>
  <si>
    <t>Enter This Information</t>
  </si>
  <si>
    <t>PTMTR</t>
  </si>
  <si>
    <r>
      <rPr>
        <sz val="10"/>
        <rFont val="Calibri"/>
        <family val="2"/>
      </rPr>
      <t>Petroleum Production Tax Lease Allowance</t>
    </r>
    <r>
      <rPr>
        <sz val="10"/>
        <color indexed="8"/>
        <rFont val="Calibri"/>
        <family val="2"/>
      </rPr>
      <t xml:space="preserve"> minimum tax rate </t>
    </r>
  </si>
  <si>
    <t>= IF(ANS&lt;$15/bbl, 0, IF(ANS&lt;$17.50/bbl, 1%, IF(ANS&lt;$20/bbl, 2%, IF(ANS&lt;$25/bbl, 3%, 4% When ANS&gt;$25/bbl))))</t>
  </si>
  <si>
    <t>PTMT</t>
  </si>
  <si>
    <t xml:space="preserve">Petroleum Production Tax Lease Allowance Minimum Tax </t>
  </si>
  <si>
    <t>SPC</t>
  </si>
  <si>
    <t>DOM</t>
  </si>
  <si>
    <t>Days in the month</t>
  </si>
  <si>
    <t>SWTPD</t>
  </si>
  <si>
    <t>PTTSPC</t>
  </si>
  <si>
    <t>Petroleum Production Tax Lease Allowance Small Producer Credit</t>
  </si>
  <si>
    <t>11 AAC 83.241(d)</t>
  </si>
  <si>
    <t>PWIOD</t>
  </si>
  <si>
    <t>= PTWIO/(Days in the month)</t>
  </si>
  <si>
    <t>PTSPC</t>
  </si>
  <si>
    <t xml:space="preserve">Petroleum Production Tax Lease Allowance lease allocated small producer credit </t>
  </si>
  <si>
    <t>G</t>
  </si>
  <si>
    <t>Petroleum Production Tax Lease Allowance</t>
  </si>
  <si>
    <t>PTLA</t>
  </si>
  <si>
    <t>H</t>
  </si>
  <si>
    <t xml:space="preserve">PTLR </t>
  </si>
  <si>
    <t>Petroleum Production Tax lease allowance loss against Revenue Account</t>
  </si>
  <si>
    <t>PTLRC</t>
  </si>
  <si>
    <r>
      <t>Petroleum Production Tax lease allowance</t>
    </r>
    <r>
      <rPr>
        <sz val="10"/>
        <color indexed="17"/>
        <rFont val="Calibri"/>
        <family val="2"/>
      </rPr>
      <t xml:space="preserve"> </t>
    </r>
    <r>
      <rPr>
        <sz val="10"/>
        <rFont val="Calibri"/>
        <family val="2"/>
      </rPr>
      <t>loss</t>
    </r>
    <r>
      <rPr>
        <sz val="10"/>
        <color indexed="17"/>
        <rFont val="Calibri"/>
        <family val="2"/>
      </rPr>
      <t xml:space="preserve"> </t>
    </r>
    <r>
      <rPr>
        <sz val="10"/>
        <color indexed="8"/>
        <rFont val="Calibri"/>
        <family val="2"/>
      </rPr>
      <t>against Revenue Account Credit</t>
    </r>
  </si>
  <si>
    <t>I</t>
  </si>
  <si>
    <t>PTDC</t>
  </si>
  <si>
    <t>Petroleum Production Tax Lease Allowance Development Account Credits</t>
  </si>
  <si>
    <t>= QCEC + PTLBC</t>
  </si>
  <si>
    <t>11 AAC 83.220(b) &amp; (c)</t>
  </si>
  <si>
    <t>LEASE</t>
  </si>
  <si>
    <t>ABC</t>
  </si>
  <si>
    <t>EPPD</t>
  </si>
  <si>
    <t xml:space="preserve"> Exploration Pre and Post Drilling</t>
  </si>
  <si>
    <t>CPD</t>
  </si>
  <si>
    <t>Construction Project Design Costs</t>
  </si>
  <si>
    <t>CWP</t>
  </si>
  <si>
    <t>Cost of Capital Work-in-Progress</t>
  </si>
  <si>
    <t>DCW</t>
  </si>
  <si>
    <t>WLE</t>
  </si>
  <si>
    <t xml:space="preserve"> Well &amp; Lease Equipment Costs</t>
  </si>
  <si>
    <t>AAOH</t>
  </si>
  <si>
    <t>Audit Adjustments - Overhead Items</t>
  </si>
  <si>
    <t>OVHR</t>
  </si>
  <si>
    <t>General Overhead and Admin. Expense Rate</t>
  </si>
  <si>
    <t>RLP</t>
  </si>
  <si>
    <t>Rentals/Licenses/Permits</t>
  </si>
  <si>
    <t>API</t>
  </si>
  <si>
    <t>Cost to Acquire Production Interest</t>
  </si>
  <si>
    <t>PPT</t>
  </si>
  <si>
    <t>Pre-Production Taxes</t>
  </si>
  <si>
    <t>EIC</t>
  </si>
  <si>
    <t>Exploration Incentive Credit</t>
  </si>
  <si>
    <t>PPT credits development account (from PT)</t>
  </si>
  <si>
    <r>
      <t xml:space="preserve">Capital Access Fee - </t>
    </r>
    <r>
      <rPr>
        <b/>
        <sz val="8"/>
        <rFont val="Arial"/>
        <family val="2"/>
      </rPr>
      <t>Milne Point Leases Only</t>
    </r>
  </si>
  <si>
    <t>TOTDC</t>
  </si>
  <si>
    <t>Total Development Costs</t>
  </si>
  <si>
    <t>CPR</t>
  </si>
  <si>
    <t>Credit from Production Revenue</t>
  </si>
  <si>
    <t>PEB</t>
  </si>
  <si>
    <t>Preliminary Ending Balance</t>
  </si>
  <si>
    <t>PRIN</t>
  </si>
  <si>
    <t>Principal</t>
  </si>
  <si>
    <t>IR</t>
  </si>
  <si>
    <t>Interest Rate</t>
  </si>
  <si>
    <t>AINT</t>
  </si>
  <si>
    <t>Accrued Interest</t>
  </si>
  <si>
    <t>DEV</t>
  </si>
  <si>
    <t>Development Acct Credit Ending Balance</t>
  </si>
  <si>
    <t>ENDB</t>
  </si>
  <si>
    <t>Ending Balance</t>
  </si>
  <si>
    <t>TAD</t>
  </si>
  <si>
    <t>Total Amount Due</t>
  </si>
  <si>
    <t xml:space="preserve"> Beginning Balance</t>
  </si>
  <si>
    <t>Total Credits (from VV)</t>
  </si>
  <si>
    <t>PO</t>
  </si>
  <si>
    <t>Production Operations Expense</t>
  </si>
  <si>
    <t>DL</t>
  </si>
  <si>
    <t>Damages and Losses</t>
  </si>
  <si>
    <t>OTH</t>
  </si>
  <si>
    <t>Other Charges</t>
  </si>
  <si>
    <t>LR</t>
  </si>
  <si>
    <t>Lease Rentals</t>
  </si>
  <si>
    <t>TAC</t>
  </si>
  <si>
    <t>Total Abandonment Cost (from VV)</t>
  </si>
  <si>
    <t>Petroleum Production Tax Lease Allowance (from PT)</t>
  </si>
  <si>
    <t>Audit Adjustments - Non - Overhead Items</t>
  </si>
  <si>
    <t>TDC</t>
  </si>
  <si>
    <t>Total Direct Charges (Operating)</t>
  </si>
  <si>
    <t>Total Royalty Expense Amount (from VV)</t>
  </si>
  <si>
    <t>TDB</t>
  </si>
  <si>
    <t>Total Debits</t>
  </si>
  <si>
    <t>PREV</t>
  </si>
  <si>
    <t>Production Revenue for the Month</t>
  </si>
  <si>
    <t>Legend</t>
  </si>
  <si>
    <t>Calculated Cell (Formula, Do Not Override)</t>
  </si>
  <si>
    <t>Calculated Cell (From PT Schedule)</t>
  </si>
  <si>
    <t>Calculated Cell (From VV Schedule)</t>
  </si>
  <si>
    <t>REG</t>
  </si>
  <si>
    <t>ADL #</t>
  </si>
  <si>
    <t>XYZ Company</t>
  </si>
  <si>
    <t>Enter Data</t>
  </si>
  <si>
    <t>QUALITY MEASUREMENT</t>
  </si>
  <si>
    <t>O</t>
  </si>
  <si>
    <t>0010</t>
  </si>
  <si>
    <t>WIO</t>
  </si>
  <si>
    <t>211001A000</t>
  </si>
  <si>
    <t>Working Interest Ownership</t>
  </si>
  <si>
    <t>2010</t>
  </si>
  <si>
    <t>ROY</t>
  </si>
  <si>
    <t>Royalty Volume</t>
  </si>
  <si>
    <t>RIV</t>
  </si>
  <si>
    <t>Royalty-In-Value</t>
  </si>
  <si>
    <t>RIK</t>
  </si>
  <si>
    <t>Royalty-In-Kind</t>
  </si>
  <si>
    <t>SV</t>
  </si>
  <si>
    <t>Starting Value</t>
  </si>
  <si>
    <t>TT</t>
  </si>
  <si>
    <t>TAPS Tariff</t>
  </si>
  <si>
    <t>L</t>
  </si>
  <si>
    <t>Losses</t>
  </si>
  <si>
    <t>QA</t>
  </si>
  <si>
    <t>Quality Bank Adjustment</t>
  </si>
  <si>
    <t>SVA</t>
  </si>
  <si>
    <t>Settlement Value Adjustment</t>
  </si>
  <si>
    <t>TADJ</t>
  </si>
  <si>
    <t>Transportation Adjustment</t>
  </si>
  <si>
    <t>AA</t>
  </si>
  <si>
    <t>Audit Adjustment Value</t>
  </si>
  <si>
    <t>RV</t>
  </si>
  <si>
    <t>Royalty Value</t>
  </si>
  <si>
    <t>FC</t>
  </si>
  <si>
    <t>Field Cost</t>
  </si>
  <si>
    <t>WH</t>
  </si>
  <si>
    <t>Well Head</t>
  </si>
  <si>
    <t>SADJ</t>
  </si>
  <si>
    <t>Settlement Adjustment</t>
  </si>
  <si>
    <t>TV</t>
  </si>
  <si>
    <t>Total Value in Dollars</t>
  </si>
  <si>
    <t>RYE</t>
  </si>
  <si>
    <t>Royalty Expense</t>
  </si>
  <si>
    <t>ACR</t>
  </si>
  <si>
    <t>Abandonment Cost Rate per Barrel</t>
  </si>
  <si>
    <t>Abandonment Cost</t>
  </si>
  <si>
    <t>CAPFR</t>
  </si>
  <si>
    <t>Capital Access Fee Rate per Barrel-Milne Pt Only</t>
  </si>
  <si>
    <t>Capital Access Fee-Milne Pt Only</t>
  </si>
  <si>
    <t>(VOLUME/VALUE REPORT)</t>
  </si>
  <si>
    <t>(NPSL REPORT)</t>
  </si>
  <si>
    <t>(ACCOUNT REPORT)</t>
  </si>
  <si>
    <t>NPAR</t>
  </si>
  <si>
    <t>MPIR</t>
  </si>
  <si>
    <t>Maximum Price Index Rate</t>
  </si>
  <si>
    <t>Overhead for Development Account</t>
  </si>
  <si>
    <t>Overhead for Production Revenue Account</t>
  </si>
  <si>
    <t>CFCR</t>
  </si>
  <si>
    <t>QCECR</t>
  </si>
  <si>
    <t>Loss Carry Forward Credit Rate</t>
  </si>
  <si>
    <t>Capital Exclusion - Cents Per BOE</t>
  </si>
  <si>
    <t>Qualified Capital Expenditure Rate</t>
  </si>
  <si>
    <t>QCC</t>
  </si>
  <si>
    <t>LCF</t>
  </si>
  <si>
    <t>TBP</t>
  </si>
  <si>
    <t>PTB</t>
  </si>
  <si>
    <t>LCC</t>
  </si>
  <si>
    <t>PPC</t>
  </si>
  <si>
    <t>A</t>
  </si>
  <si>
    <t>11 AAC 83.241(c)(2)</t>
  </si>
  <si>
    <t xml:space="preserve">11 AAC 83.241(c)(2) </t>
  </si>
  <si>
    <t>11 AAC 83.220(a)(5)</t>
  </si>
  <si>
    <t>11 AAC 83.220(b)</t>
  </si>
  <si>
    <t>11 AAC 83.241(e)</t>
  </si>
  <si>
    <t>11 AAC 83.241(a)(1)(A)</t>
  </si>
  <si>
    <t>11 AAC 83.241(d)(2)(B)</t>
  </si>
  <si>
    <t>11 AAC 83.241(a)(2)(A)</t>
  </si>
  <si>
    <t>PTL</t>
  </si>
  <si>
    <t xml:space="preserve">Petroleum Production Tax Lease Allowance Net Revenue Calculation </t>
  </si>
  <si>
    <t>Qualified Capital Expenditure Credit Calculation</t>
  </si>
  <si>
    <t>Loss Carry Forward Calculation</t>
  </si>
  <si>
    <t>Tax Based On Price Index Liability</t>
  </si>
  <si>
    <t>Petroleum Production Tax Lease Allowance Before Credits Calculation</t>
  </si>
  <si>
    <t>F</t>
  </si>
  <si>
    <t>Small Producer Credit</t>
  </si>
  <si>
    <t>Petroleum Production Tax Development Account Credits</t>
  </si>
  <si>
    <t>Net Profit Annual Rate</t>
  </si>
  <si>
    <t>Multiplier #1 (Progressive Increment #1)</t>
  </si>
  <si>
    <t>Multiplier #2 (Progressive Increment #2)</t>
  </si>
  <si>
    <t>PTBC</t>
  </si>
  <si>
    <t>Petroleum Production Tax Lease Allowance Calculation</t>
  </si>
  <si>
    <t>Qualified Capital Expenditures</t>
  </si>
  <si>
    <t>Net Profit Deductibility Factor</t>
  </si>
  <si>
    <t>PTR</t>
  </si>
  <si>
    <t>Fixed Variables Description</t>
  </si>
  <si>
    <t>PR OVHR</t>
  </si>
  <si>
    <t>DV OVHR</t>
  </si>
  <si>
    <t>Base Annual Net Direct Charges</t>
  </si>
  <si>
    <t>Qualified Capital Expenditures Credit</t>
  </si>
  <si>
    <t>BOER</t>
  </si>
  <si>
    <t xml:space="preserve">Conversion Rate To Barrels Value </t>
  </si>
  <si>
    <t>MT</t>
  </si>
  <si>
    <t xml:space="preserve">Milne Tariff </t>
  </si>
  <si>
    <t>Working Interest Ownership in Mcf</t>
  </si>
  <si>
    <r>
      <t>= CEER</t>
    </r>
    <r>
      <rPr>
        <sz val="10"/>
        <color indexed="8"/>
        <rFont val="Calibri"/>
        <family val="2"/>
      </rPr>
      <t xml:space="preserve"> </t>
    </r>
    <r>
      <rPr>
        <b/>
        <sz val="10"/>
        <color indexed="8"/>
        <rFont val="Calibri"/>
        <family val="2"/>
      </rPr>
      <t>*</t>
    </r>
    <r>
      <rPr>
        <sz val="10"/>
        <color indexed="8"/>
        <rFont val="Calibri"/>
        <family val="2"/>
      </rPr>
      <t xml:space="preserve"> PTWIO</t>
    </r>
  </si>
  <si>
    <t>= PTWIO</t>
  </si>
  <si>
    <t>15 AAC 55.171 (m)</t>
  </si>
  <si>
    <t>AS 43.55.011(e)</t>
  </si>
  <si>
    <t xml:space="preserve"> Drilling Costs - Well</t>
  </si>
  <si>
    <t>11 AAC 83.241(c)(1)</t>
  </si>
  <si>
    <t>11 AAC 83.241(c)(3)</t>
  </si>
  <si>
    <t>WIOB</t>
  </si>
  <si>
    <t>ROYB</t>
  </si>
  <si>
    <t>= WIO (bbls) +  WIOB (WIO (mcf)/6) FROM VV REPORT</t>
  </si>
  <si>
    <t>WIO Mcf Volume Converted To BOE Volume</t>
  </si>
  <si>
    <t>Kuparuk Lease (Yes = 1, No = 2)</t>
  </si>
  <si>
    <t>ROY Mcf Volume Converted To BOE Volume</t>
  </si>
  <si>
    <t>0300</t>
  </si>
  <si>
    <t>2300</t>
  </si>
  <si>
    <r>
      <t xml:space="preserve">Enter This Information From:
</t>
    </r>
    <r>
      <rPr>
        <b/>
        <sz val="10"/>
        <rFont val="Calibri"/>
        <family val="2"/>
      </rPr>
      <t>www.tax.alaska.gov/programs/oil/prevailing/ans.aspx</t>
    </r>
  </si>
  <si>
    <t>State-wide total production net of royalty on a BOE per day.</t>
  </si>
  <si>
    <t>Petroleum Production Tax Lease Allowance Working Interest Owner Volumes net of Royalty in BOE per day for the lease.</t>
  </si>
  <si>
    <t>000012345</t>
  </si>
  <si>
    <t>REPORT FORMULA</t>
  </si>
  <si>
    <t>=SUM(EPPD:AAOH)</t>
  </si>
  <si>
    <t>ROUND(TOI*OVHR,2)</t>
  </si>
  <si>
    <t>=TOI+SUM(GOAE:CAPF)</t>
  </si>
  <si>
    <t>=IF(PREV&gt;0,0,PREV)</t>
  </si>
  <si>
    <t>=BEGB+TOTDC+CPR</t>
  </si>
  <si>
    <t>=ROUND(IF(PEB&lt;0,0,(BEGB+PEB)*0.5),2)</t>
  </si>
  <si>
    <t>=ROUND(PRIN*IR,2)</t>
  </si>
  <si>
    <t>=ROUND(DEV*NPR,2)</t>
  </si>
  <si>
    <t>=SUM(PO:AAOH)</t>
  </si>
  <si>
    <t>=ROUND(TOI*OVHR,2)</t>
  </si>
  <si>
    <t>=SUM(GOAE:AANOH)</t>
  </si>
  <si>
    <t>=TOI+TDC+TRYE</t>
  </si>
  <si>
    <t>=BEGB+TCR+TDB</t>
  </si>
  <si>
    <t>=IF(PREV&gt;0,PREV,0)</t>
  </si>
  <si>
    <t>=PEB+AINT</t>
  </si>
  <si>
    <t>=DEV</t>
  </si>
  <si>
    <t>=IF(DEV&gt;0,0, - ENDB)</t>
  </si>
  <si>
    <t>Loss Carry Forward Credit Against Production Revenue Account</t>
  </si>
  <si>
    <r>
      <t xml:space="preserve">= CEER ( </t>
    </r>
    <r>
      <rPr>
        <b/>
        <sz val="12"/>
        <color indexed="8"/>
        <rFont val="Calibri"/>
        <family val="2"/>
      </rPr>
      <t>-</t>
    </r>
    <r>
      <rPr>
        <sz val="10"/>
        <color indexed="8"/>
        <rFont val="Calibri"/>
        <family val="2"/>
      </rPr>
      <t xml:space="preserve"> $0.30 )</t>
    </r>
  </si>
  <si>
    <r>
      <t xml:space="preserve">= </t>
    </r>
    <r>
      <rPr>
        <b/>
        <sz val="12"/>
        <rFont val="Calibri"/>
        <family val="2"/>
      </rPr>
      <t>-</t>
    </r>
    <r>
      <rPr>
        <sz val="10"/>
        <rFont val="Calibri"/>
        <family val="2"/>
      </rPr>
      <t xml:space="preserve"> </t>
    </r>
    <r>
      <rPr>
        <sz val="10"/>
        <rFont val="Calibri"/>
        <family val="2"/>
      </rPr>
      <t xml:space="preserve">(PTPIR </t>
    </r>
    <r>
      <rPr>
        <b/>
        <sz val="10"/>
        <rFont val="Calibri"/>
        <family val="2"/>
      </rPr>
      <t>*</t>
    </r>
    <r>
      <rPr>
        <sz val="10"/>
        <rFont val="Calibri"/>
        <family val="2"/>
      </rPr>
      <t xml:space="preserve"> PTNR)</t>
    </r>
  </si>
  <si>
    <t>= ROUND((WIO*WH)+SADJ,2)</t>
  </si>
  <si>
    <t>= ROUND(ROY*WH,2)</t>
  </si>
  <si>
    <t>= ROUND(WIO*ACR,2)</t>
  </si>
  <si>
    <t>= ROUND(WIO*CAPFR,2)</t>
  </si>
  <si>
    <t>= ROY/BOER</t>
  </si>
  <si>
    <t>= WIO/BOER</t>
  </si>
  <si>
    <t>MAPA Effective Date</t>
  </si>
  <si>
    <t>PTNO</t>
  </si>
  <si>
    <t>GVPOPB</t>
  </si>
  <si>
    <t>= IF (PDMO &lt; 07/01/2007 or POS = 0, 1, (1-NPR)/(1-BTR * NPR))</t>
  </si>
  <si>
    <t>AGVPOP</t>
  </si>
  <si>
    <t>NOGVPOP</t>
  </si>
  <si>
    <t>PTHRO</t>
  </si>
  <si>
    <t>NOHRGVP</t>
  </si>
  <si>
    <t>NNOHRGVP</t>
  </si>
  <si>
    <t>MAPA</t>
  </si>
  <si>
    <t>= IF(PDMO&gt;12/31/2013,0,IF(PDMO&lt; 7/1/2007,MIN (Max Rate Before Aces),MAX(0,(PTNRB - Threshold #1)*Multiplier #1)),MIN(Max Rate After Aces),MAX(0,(MIN(PTNRB,Threshold #2)-Threshold #1)*Multiplier #1+MAX(0,(PTNRB - Threshold #2)*Multiplier #2)))))</t>
  </si>
  <si>
    <r>
      <rPr>
        <i/>
        <u/>
        <sz val="10"/>
        <rFont val="Arial"/>
        <family val="2"/>
      </rPr>
      <t>Before ACES</t>
    </r>
    <r>
      <rPr>
        <i/>
        <sz val="10"/>
        <color indexed="23"/>
        <rFont val="Arial"/>
        <family val="2"/>
      </rPr>
      <t xml:space="preserve"> </t>
    </r>
    <r>
      <rPr>
        <i/>
        <sz val="10"/>
        <rFont val="Arial"/>
        <family val="2"/>
      </rPr>
      <t>Loss Carry Forward Cr. Rate</t>
    </r>
  </si>
  <si>
    <r>
      <rPr>
        <i/>
        <u val="double"/>
        <sz val="10"/>
        <color indexed="60"/>
        <rFont val="Arial"/>
        <family val="2"/>
      </rPr>
      <t>After ACES</t>
    </r>
    <r>
      <rPr>
        <i/>
        <sz val="10"/>
        <color indexed="23"/>
        <rFont val="Arial"/>
        <family val="2"/>
      </rPr>
      <t xml:space="preserve"> </t>
    </r>
    <r>
      <rPr>
        <i/>
        <sz val="10"/>
        <rFont val="Arial"/>
        <family val="2"/>
      </rPr>
      <t>Loss Carry Forward Cr. Rate</t>
    </r>
  </si>
  <si>
    <r>
      <rPr>
        <i/>
        <u val="double"/>
        <sz val="10"/>
        <color indexed="60"/>
        <rFont val="Arial"/>
        <family val="2"/>
      </rPr>
      <t>After MAPA</t>
    </r>
    <r>
      <rPr>
        <i/>
        <sz val="10"/>
        <color indexed="23"/>
        <rFont val="Arial"/>
        <family val="2"/>
      </rPr>
      <t xml:space="preserve"> </t>
    </r>
    <r>
      <rPr>
        <i/>
        <sz val="10"/>
        <rFont val="Arial"/>
        <family val="2"/>
      </rPr>
      <t>Loss Carry Forward Cr. Rate</t>
    </r>
  </si>
  <si>
    <r>
      <rPr>
        <i/>
        <u/>
        <sz val="10"/>
        <rFont val="Arial"/>
        <family val="2"/>
      </rPr>
      <t>Before ACES</t>
    </r>
    <r>
      <rPr>
        <i/>
        <sz val="10"/>
        <color indexed="23"/>
        <rFont val="Arial"/>
        <family val="2"/>
      </rPr>
      <t xml:space="preserve"> </t>
    </r>
    <r>
      <rPr>
        <i/>
        <sz val="10"/>
        <rFont val="Arial"/>
        <family val="2"/>
      </rPr>
      <t>Section e) Tax Rate</t>
    </r>
  </si>
  <si>
    <r>
      <rPr>
        <i/>
        <u val="double"/>
        <sz val="10"/>
        <color indexed="60"/>
        <rFont val="Arial"/>
        <family val="2"/>
      </rPr>
      <t>After ACES</t>
    </r>
    <r>
      <rPr>
        <b/>
        <i/>
        <sz val="10"/>
        <color indexed="17"/>
        <rFont val="Arial"/>
        <family val="2"/>
      </rPr>
      <t xml:space="preserve"> </t>
    </r>
    <r>
      <rPr>
        <i/>
        <sz val="10"/>
        <rFont val="Arial"/>
        <family val="2"/>
      </rPr>
      <t>Section e) Tax Rate</t>
    </r>
  </si>
  <si>
    <r>
      <rPr>
        <i/>
        <u val="double"/>
        <sz val="10"/>
        <color indexed="60"/>
        <rFont val="Arial"/>
        <family val="2"/>
      </rPr>
      <t xml:space="preserve">After MAPA </t>
    </r>
    <r>
      <rPr>
        <i/>
        <sz val="10"/>
        <rFont val="Arial"/>
        <family val="2"/>
      </rPr>
      <t>Section e) Tax Rate</t>
    </r>
  </si>
  <si>
    <r>
      <t xml:space="preserve">Threshold #1 Price </t>
    </r>
    <r>
      <rPr>
        <i/>
        <u/>
        <sz val="10"/>
        <color indexed="8"/>
        <rFont val="Arial"/>
        <family val="2"/>
      </rPr>
      <t>Before Aces</t>
    </r>
  </si>
  <si>
    <r>
      <t xml:space="preserve">Threshold #1 Price </t>
    </r>
    <r>
      <rPr>
        <i/>
        <u/>
        <sz val="10"/>
        <color indexed="60"/>
        <rFont val="Arial"/>
        <family val="2"/>
      </rPr>
      <t>After Aces</t>
    </r>
  </si>
  <si>
    <r>
      <t xml:space="preserve">Progressive Increment #1 </t>
    </r>
    <r>
      <rPr>
        <i/>
        <u/>
        <sz val="10"/>
        <color indexed="8"/>
        <rFont val="Arial"/>
        <family val="2"/>
      </rPr>
      <t>Before Aces</t>
    </r>
  </si>
  <si>
    <r>
      <t xml:space="preserve">Progressive Increment #1 </t>
    </r>
    <r>
      <rPr>
        <i/>
        <u/>
        <sz val="10"/>
        <color indexed="60"/>
        <rFont val="Arial"/>
        <family val="2"/>
      </rPr>
      <t>After Aces</t>
    </r>
  </si>
  <si>
    <r>
      <t xml:space="preserve">Threshold #2 Price </t>
    </r>
    <r>
      <rPr>
        <u/>
        <sz val="10"/>
        <color indexed="60"/>
        <rFont val="Arial"/>
        <family val="2"/>
      </rPr>
      <t>After Aces</t>
    </r>
  </si>
  <si>
    <r>
      <t xml:space="preserve">Progressive Increment #2 </t>
    </r>
    <r>
      <rPr>
        <i/>
        <u/>
        <sz val="10"/>
        <color indexed="60"/>
        <rFont val="Arial"/>
        <family val="2"/>
      </rPr>
      <t>After Aces</t>
    </r>
  </si>
  <si>
    <r>
      <t xml:space="preserve">Max Price Index Based Rate </t>
    </r>
    <r>
      <rPr>
        <i/>
        <u/>
        <sz val="10"/>
        <color indexed="8"/>
        <rFont val="Arial"/>
        <family val="2"/>
      </rPr>
      <t>Before Aces</t>
    </r>
  </si>
  <si>
    <r>
      <t xml:space="preserve">Max Price Index Based Rate </t>
    </r>
    <r>
      <rPr>
        <i/>
        <u/>
        <sz val="10"/>
        <color indexed="60"/>
        <rFont val="Arial"/>
        <family val="2"/>
      </rPr>
      <t>After Aces</t>
    </r>
  </si>
  <si>
    <t>EXAMPLE TEMPLATE, NOT TO BE USED FOR FILING REPORT</t>
  </si>
  <si>
    <t>TEMPLATE FORMATTED FOR FILING</t>
  </si>
  <si>
    <t xml:space="preserve"> = NDCPT + TPTD + AGVPOP</t>
  </si>
  <si>
    <t>= IF (PDMO &lt; 1/1/2014, QCECR = 20% , QCECR = 0%)</t>
  </si>
  <si>
    <t>= IF (PDMO &lt; 07/01/2007 then $40.00, else $30.00)</t>
  </si>
  <si>
    <t>= IF (PDMO &lt; 07/01/2007 then 0.25%, else 0.40%)</t>
  </si>
  <si>
    <t>= IF (PDMO &lt; 07/01/2007 then 0.25%, else 0.10%)</t>
  </si>
  <si>
    <t>= IF (PDMO &lt; 07/01/2007 then 25%, else 50%)</t>
  </si>
  <si>
    <t>= IF (PDMO &lt; 07/01/2007, then 22.5%, else, IF (PDMO &lt; 12/31/2013, 25%, else 35%))</t>
  </si>
  <si>
    <t>='PT-Example'!L117</t>
  </si>
  <si>
    <t>= IF (TCR + TRYE + NDCPT + TPTD + (DV) BEGB &lt; 0, 1, 0)</t>
  </si>
  <si>
    <t>= IF TWIO OR (PR) TOI  does not equal zero, then 0 , else PTNR</t>
  </si>
  <si>
    <r>
      <t xml:space="preserve">= IF (PTTSPC = 0, then 0, else (and(PTMT&gt;PTSE+PTPI, PDMO &gt; = 7/2007), then 0, else </t>
    </r>
    <r>
      <rPr>
        <b/>
        <sz val="12"/>
        <rFont val="Calibri"/>
        <family val="2"/>
      </rPr>
      <t xml:space="preserve">- </t>
    </r>
    <r>
      <rPr>
        <sz val="10"/>
        <rFont val="Calibri"/>
        <family val="2"/>
      </rPr>
      <t xml:space="preserve">min (IF(PDMO &lt; 7/2007, PTSE,PTSE+PTPI), 
</t>
    </r>
    <r>
      <rPr>
        <b/>
        <sz val="12"/>
        <rFont val="Calibri"/>
        <family val="2"/>
      </rPr>
      <t>-</t>
    </r>
    <r>
      <rPr>
        <sz val="12"/>
        <rFont val="Calibri"/>
        <family val="2"/>
      </rPr>
      <t xml:space="preserve"> </t>
    </r>
    <r>
      <rPr>
        <sz val="10"/>
        <rFont val="Calibri"/>
        <family val="2"/>
      </rPr>
      <t xml:space="preserve">PTTSPC </t>
    </r>
    <r>
      <rPr>
        <b/>
        <sz val="10"/>
        <rFont val="Calibri"/>
        <family val="2"/>
      </rPr>
      <t xml:space="preserve">* </t>
    </r>
    <r>
      <rPr>
        <sz val="10"/>
        <rFont val="Calibri"/>
        <family val="2"/>
      </rPr>
      <t>(PWIOD / SWTPD)))))</t>
    </r>
  </si>
  <si>
    <r>
      <t xml:space="preserve">= IF (GVPOP &gt; 0, 0, </t>
    </r>
    <r>
      <rPr>
        <b/>
        <sz val="12"/>
        <rFont val="Calibri"/>
        <family val="2"/>
      </rPr>
      <t>-</t>
    </r>
    <r>
      <rPr>
        <sz val="10"/>
        <rFont val="Calibri"/>
        <family val="2"/>
      </rPr>
      <t xml:space="preserve"> GVPOP </t>
    </r>
    <r>
      <rPr>
        <b/>
        <sz val="10"/>
        <rFont val="Calibri"/>
        <family val="2"/>
      </rPr>
      <t>*</t>
    </r>
    <r>
      <rPr>
        <sz val="10"/>
        <rFont val="Calibri"/>
        <family val="2"/>
      </rPr>
      <t xml:space="preserve"> PTMTR)</t>
    </r>
  </si>
  <si>
    <t xml:space="preserve">= (1+ IR) ^12 - 1 </t>
  </si>
  <si>
    <t>= IF (After 12/2006 and before 1/2010 and part of Kuparuk River Unit, then BNDCPT/9 * Adj Factor, else TOI + GOAE + AVT + NOP + AANOH)</t>
  </si>
  <si>
    <r>
      <t xml:space="preserve">= IF (After 12/2006 and before 1/2010 and part of Kuparuk River Unit, then sum NDCPT from April 2006 to end of year, else zero).  </t>
    </r>
    <r>
      <rPr>
        <b/>
        <sz val="10"/>
        <color indexed="8"/>
        <rFont val="Calibri"/>
        <family val="2"/>
      </rPr>
      <t>Enter this information</t>
    </r>
  </si>
  <si>
    <t>OS</t>
  </si>
  <si>
    <t>Outside Substances</t>
  </si>
  <si>
    <t>US</t>
  </si>
  <si>
    <t>Unitized Substances</t>
  </si>
  <si>
    <t>KT</t>
  </si>
  <si>
    <t>Kuparuk Tariff</t>
  </si>
  <si>
    <t>Based on US Volumes</t>
  </si>
  <si>
    <t>01</t>
  </si>
  <si>
    <t>REVPD</t>
  </si>
  <si>
    <t>Revision Principal Difference Amount</t>
  </si>
  <si>
    <t>REVID</t>
  </si>
  <si>
    <t>Revision Interest Difference Amount</t>
  </si>
  <si>
    <t>REVTD</t>
  </si>
  <si>
    <t>Revision Total Difference Amount</t>
  </si>
  <si>
    <t>=TAD Rev 1 - TAD Rev 0</t>
  </si>
  <si>
    <t>= Interest owed based on REVPD</t>
  </si>
  <si>
    <t>= REVPD + REVID</t>
  </si>
  <si>
    <t>Number of barrels of taxable oil produced</t>
  </si>
  <si>
    <t>PTWIOT</t>
  </si>
  <si>
    <t>= (WIO, OIL) - (ROY, OIL)
 (Product codes of O and N From VV Report)</t>
  </si>
  <si>
    <t>000012345N03201400</t>
  </si>
  <si>
    <t>11 AAC 83.241(a)(2)(B)</t>
  </si>
  <si>
    <t>Gross Value at Point of Production per Barrel</t>
  </si>
  <si>
    <t>= (TV - RYE)  / (WIO - ROY)
 (All for product code of O or N from VV Report)</t>
  </si>
  <si>
    <t>11 AAC 83.241(b)(3)</t>
  </si>
  <si>
    <t>ALASKA DNR - OIL &amp; GAS  V 1.201308</t>
  </si>
  <si>
    <r>
      <t xml:space="preserve">= IF (TWIO = 0 AND (PR) TOI = 0, 0, IF (PTNR &gt; 0, 0, </t>
    </r>
    <r>
      <rPr>
        <b/>
        <sz val="12"/>
        <rFont val="Calibri"/>
        <family val="2"/>
        <scheme val="minor"/>
      </rPr>
      <t>-</t>
    </r>
    <r>
      <rPr>
        <sz val="10"/>
        <rFont val="Calibri"/>
        <family val="2"/>
        <scheme val="minor"/>
      </rPr>
      <t xml:space="preserve"> BTR * PTNR * NPDF))</t>
    </r>
  </si>
  <si>
    <r>
      <t xml:space="preserve">= IF (PDMO &lt;7/1/2007, </t>
    </r>
    <r>
      <rPr>
        <b/>
        <sz val="12"/>
        <rFont val="Calibri"/>
        <family val="2"/>
      </rPr>
      <t xml:space="preserve">- </t>
    </r>
    <r>
      <rPr>
        <sz val="10"/>
        <rFont val="Calibri"/>
        <family val="2"/>
      </rPr>
      <t xml:space="preserve">20%, IF(PDMO &lt; 1/1/2014, </t>
    </r>
    <r>
      <rPr>
        <b/>
        <sz val="12"/>
        <rFont val="Calibri"/>
        <family val="2"/>
      </rPr>
      <t xml:space="preserve">- </t>
    </r>
    <r>
      <rPr>
        <sz val="10"/>
        <rFont val="Calibri"/>
        <family val="2"/>
      </rPr>
      <t xml:space="preserve">25%, 
</t>
    </r>
    <r>
      <rPr>
        <b/>
        <sz val="12"/>
        <rFont val="Calibri"/>
        <family val="2"/>
      </rPr>
      <t xml:space="preserve">- </t>
    </r>
    <r>
      <rPr>
        <sz val="10"/>
        <rFont val="Calibri"/>
        <family val="2"/>
      </rPr>
      <t xml:space="preserve">35%) </t>
    </r>
    <r>
      <rPr>
        <b/>
        <sz val="10"/>
        <color indexed="8"/>
        <rFont val="Calibri"/>
        <family val="2"/>
      </rPr>
      <t xml:space="preserve">* </t>
    </r>
    <r>
      <rPr>
        <sz val="10"/>
        <color indexed="8"/>
        <rFont val="Calibri"/>
        <family val="2"/>
      </rPr>
      <t xml:space="preserve"> (PTLR)</t>
    </r>
  </si>
  <si>
    <t xml:space="preserve"> = IF (TWIO OR TOI (PR) do not equal 0 and PTNR &gt; 0, then PTNR,  else 0)</t>
  </si>
  <si>
    <r>
      <t xml:space="preserve">= IF (SWTPD = 0, 0, </t>
    </r>
    <r>
      <rPr>
        <b/>
        <sz val="12"/>
        <rFont val="Calibri"/>
        <family val="2"/>
      </rPr>
      <t>-</t>
    </r>
    <r>
      <rPr>
        <sz val="10"/>
        <rFont val="Calibri"/>
        <family val="2"/>
      </rPr>
      <t>1</t>
    </r>
    <r>
      <rPr>
        <sz val="14"/>
        <rFont val="Calibri"/>
        <family val="2"/>
      </rPr>
      <t xml:space="preserve"> </t>
    </r>
    <r>
      <rPr>
        <b/>
        <vertAlign val="subscript"/>
        <sz val="16"/>
        <rFont val="Calibri"/>
        <family val="2"/>
      </rPr>
      <t>*</t>
    </r>
    <r>
      <rPr>
        <b/>
        <sz val="11"/>
        <rFont val="Calibri"/>
        <family val="2"/>
      </rPr>
      <t xml:space="preserve"> </t>
    </r>
    <r>
      <rPr>
        <sz val="10"/>
        <rFont val="Calibri"/>
        <family val="2"/>
      </rPr>
      <t>[IF(SWTPD&lt;50,000 bbls,$1,000,000, IF(SWTPD&gt;100,000 bbls,0,
$1,000,000</t>
    </r>
    <r>
      <rPr>
        <b/>
        <sz val="10"/>
        <rFont val="Calibri"/>
        <family val="2"/>
      </rPr>
      <t>*</t>
    </r>
    <r>
      <rPr>
        <sz val="10"/>
        <rFont val="Calibri"/>
        <family val="2"/>
      </rPr>
      <t>(1-(2</t>
    </r>
    <r>
      <rPr>
        <b/>
        <sz val="10"/>
        <rFont val="Calibri"/>
        <family val="2"/>
      </rPr>
      <t>*</t>
    </r>
    <r>
      <rPr>
        <sz val="10"/>
        <rFont val="Calibri"/>
        <family val="2"/>
      </rPr>
      <t>(SWTPD-50,000 bbls))/100,000 bbls))])</t>
    </r>
  </si>
  <si>
    <t>= IF (PDMO &gt; 12/1/13, IF(GVPOPB&lt;$80, $8, IF(GVPOPB&lt;$90, $7, IF(GVPOPB&lt;$100, $6, IF(GVPOPB&lt;$110, $5, IFGVPOPB&lt;$120, $4, IF(GVPOPB&lt;$130, $3, IF(GVPOPB&lt;$140, $2, IF(GVPOPB&lt;$150, $1, $0))))))),0))</t>
  </si>
  <si>
    <t>= MAX(PTPI + PTSE, PTMT)</t>
  </si>
  <si>
    <t>11 AAC 83.209(b)</t>
  </si>
  <si>
    <t>Portion of PTWIO that is new production (This value must be net of royalty because PTWIO is net of royalty)</t>
  </si>
  <si>
    <t>Portion of PTNO that is from a high royalty Unit (This value must be net of royalty because PTWIO is net of royalty)</t>
  </si>
  <si>
    <t>Total Credits (Gross Revenue)  Calculation
 is Based on WIO Volumes * Well Head Price</t>
  </si>
  <si>
    <t>Gross Value Reduction Oil</t>
  </si>
  <si>
    <t>High Royalty Gross Value Reduction Oil</t>
  </si>
  <si>
    <t>GVRO</t>
  </si>
  <si>
    <t>HRGVRO</t>
  </si>
  <si>
    <t>Dollar per barrel for Gross Value Reduction oil</t>
  </si>
  <si>
    <t>DPBGVRO</t>
  </si>
  <si>
    <t>= NOGVPOP - NOHRGVP</t>
  </si>
  <si>
    <t>Gross Value Reduction</t>
  </si>
  <si>
    <t>Gross Value at the Point of Production adjusted for GVR</t>
  </si>
  <si>
    <t>= GVPOP + GVR</t>
  </si>
  <si>
    <t>= ROY (bbls) + ROYB (ROY (mcf)/6) FROM VV REPORT</t>
  </si>
  <si>
    <t>= TWIO - TRV</t>
  </si>
  <si>
    <t>= CEER * PTWIO</t>
  </si>
  <si>
    <t>= DV RTO + DV TOI + PT EXCAP</t>
  </si>
  <si>
    <t>= IF (PDMO &lt; 07/01/2007 then - 20%, else IF (PDMO &lt; 01/01/2014, - 25%, else - 35%))</t>
  </si>
  <si>
    <t xml:space="preserve">Petroleum Production Tax Lease Allowance Net Revenue </t>
  </si>
  <si>
    <t>11 AAC 83.241(a) &amp; (c)</t>
  </si>
  <si>
    <t xml:space="preserve">Petroleum Production Tax Lease Allowance net revenue per BOE </t>
  </si>
  <si>
    <t>= IF (PTWIO = 0, then 0, else - PTNR / [(PTWIO/NPDF)])</t>
  </si>
  <si>
    <t>11 AAC 83.241(a)</t>
  </si>
  <si>
    <t>11 AAC 83.241(b)(3)(A)</t>
  </si>
  <si>
    <t>11 AAC 83.241(b)(2) &amp; (b)(3)(A)</t>
  </si>
  <si>
    <t>PTGVROPB</t>
  </si>
  <si>
    <t>Petroleum Production Tax Dollar Per Barrel for non-GVR oil</t>
  </si>
  <si>
    <t>PTNGVROC</t>
  </si>
  <si>
    <t>Production Tax Dollar per barrel credit amount for non-GVR oil</t>
  </si>
  <si>
    <t>PTGVROC</t>
  </si>
  <si>
    <t>Production Tax Dollar per credit amount for GVR oil</t>
  </si>
  <si>
    <t>= PTBC +  PTSPC + PTGVROC + PTNGRVOC</t>
  </si>
  <si>
    <t>GVR</t>
  </si>
  <si>
    <r>
      <t xml:space="preserve">= [ </t>
    </r>
    <r>
      <rPr>
        <b/>
        <sz val="12"/>
        <color theme="1"/>
        <rFont val="Calibri"/>
        <family val="2"/>
        <scheme val="minor"/>
      </rPr>
      <t>-</t>
    </r>
    <r>
      <rPr>
        <sz val="10"/>
        <color theme="1"/>
        <rFont val="Calibri"/>
        <family val="2"/>
        <scheme val="minor"/>
      </rPr>
      <t xml:space="preserve"> QCECR * IF (PDM0 &lt; 7/2007, QCE), else (50% * QCE  + (50% * QCE) / (1 + NPAR))]</t>
    </r>
  </si>
  <si>
    <t>Revised formulas/added entries for SB 21</t>
  </si>
  <si>
    <t>User Input cell</t>
  </si>
  <si>
    <t>= CFCR * PTLB</t>
  </si>
  <si>
    <t>= ROUND((US*WH)+SADJ,2)</t>
  </si>
  <si>
    <t>= ROUND(US*ACR,2)</t>
  </si>
  <si>
    <t>Loss Carry Forward credit (from PT)</t>
  </si>
  <si>
    <t>= TV Oil - RYE Oil
 (Product codes of O and N From VV Report)</t>
  </si>
  <si>
    <t>GVPOPO</t>
  </si>
  <si>
    <t>= (PTNO/PTWIOT) * GVPOPO</t>
  </si>
  <si>
    <t>= (PTHRO/PTWIOT) * GVPOPO</t>
  </si>
  <si>
    <t>Gross Value at Point of Production for Oil and NGLs</t>
  </si>
  <si>
    <r>
      <rPr>
        <sz val="10"/>
        <rFont val="Calibri"/>
        <family val="2"/>
      </rPr>
      <t>Petroleum Production Tax Lease Allowance</t>
    </r>
    <r>
      <rPr>
        <sz val="10"/>
        <color indexed="8"/>
        <rFont val="Calibri"/>
        <family val="2"/>
      </rPr>
      <t xml:space="preserve"> before credits</t>
    </r>
  </si>
  <si>
    <t>='PT-Example'!L118</t>
  </si>
  <si>
    <t>= ' VV - Example'!H58</t>
  </si>
  <si>
    <t>= -' VV - Example'!H53- ' VV - Example'!H69</t>
  </si>
  <si>
    <t>=' VV - Example'!H56 + ' VV - Example'!H77</t>
  </si>
  <si>
    <t>='PT-Example'!L115</t>
  </si>
  <si>
    <t>=' VV - Example'!H54 + ' VV - Example'!H70</t>
  </si>
  <si>
    <t>11 AAC 83.241((b)(2) &amp; (c)</t>
  </si>
  <si>
    <t>PTNG</t>
  </si>
  <si>
    <t>PTHRG</t>
  </si>
  <si>
    <t>PTWIOG</t>
  </si>
  <si>
    <t>GVPOPG</t>
  </si>
  <si>
    <t>NOGVPOG</t>
  </si>
  <si>
    <t>NOHRGVG</t>
  </si>
  <si>
    <t>NNOHRGVG</t>
  </si>
  <si>
    <t>Portion of PTNG that is from a high royalty Unit (This value must be net of royalty because PTWIOG is net of royalty)</t>
  </si>
  <si>
    <t>Number of mcf of taxable gas produced</t>
  </si>
  <si>
    <t>= (WIO, GAS) - (ROY, GAS)
 (Product codes of D and W From VV Report)</t>
  </si>
  <si>
    <t>= (PTNG/PTWIOG) * GVPOPG</t>
  </si>
  <si>
    <t>= (PTHRG/PTWIOG) * GVPOPG</t>
  </si>
  <si>
    <t>= NOGVPOG - NOHRGVG</t>
  </si>
  <si>
    <t>Gross Value at Point of Production for Gas</t>
  </si>
  <si>
    <t>= IF (PDMO &lt; 1/1/2014, 0, else  - (NNOHRGVP+NN0HRGVG) * 20%) - (20% + 10%) * (N0HRGVP+NOHRGVG))</t>
  </si>
  <si>
    <t>Portion of oil gross revenue applicable to Gross Value Reduction (GVR) production</t>
  </si>
  <si>
    <t>Portion of oil gross revenue applicable to high royalty unit production</t>
  </si>
  <si>
    <t>Portion of oil gross revenue that is applicable to new production but is not from a high royalty unit</t>
  </si>
  <si>
    <t>Portion of gas gross revenue applicable to high royalty unit production</t>
  </si>
  <si>
    <t>Portion of PTWIOT that is new oil production (This value must be net of royalty because PTWIO is net of royalty)</t>
  </si>
  <si>
    <t>Portion of PTWIOG that is GVR production (This value must be net of royalty because PTWIOG is net of royalty)</t>
  </si>
  <si>
    <t>= TV GAS - RYE GAS
 (Product codes of D and W From VV Report)</t>
  </si>
  <si>
    <t>Portion of gas gross revenue applicable to GVR production</t>
  </si>
  <si>
    <t>Portion of gas gross revenue that is applicable to GVR production but is not from a high royalty unit</t>
  </si>
  <si>
    <r>
      <t xml:space="preserve">=IF (PDMO &gt; 12/1/2013, </t>
    </r>
    <r>
      <rPr>
        <b/>
        <sz val="12"/>
        <rFont val="Calibri"/>
        <family val="2"/>
        <scheme val="minor"/>
      </rPr>
      <t>-</t>
    </r>
    <r>
      <rPr>
        <sz val="10"/>
        <rFont val="Calibri"/>
        <family val="2"/>
        <scheme val="minor"/>
      </rPr>
      <t xml:space="preserve"> DPBGVRO </t>
    </r>
    <r>
      <rPr>
        <b/>
        <sz val="10"/>
        <rFont val="Calibri"/>
        <family val="2"/>
        <scheme val="minor"/>
      </rPr>
      <t>*</t>
    </r>
    <r>
      <rPr>
        <sz val="10"/>
        <rFont val="Calibri"/>
        <family val="2"/>
        <scheme val="minor"/>
      </rPr>
      <t xml:space="preserve"> PTGVRO, $0.00)</t>
    </r>
  </si>
  <si>
    <r>
      <t xml:space="preserve">= - MIN[PTGVROPB </t>
    </r>
    <r>
      <rPr>
        <b/>
        <sz val="10"/>
        <rFont val="Calibri"/>
        <family val="2"/>
        <scheme val="minor"/>
      </rPr>
      <t>*</t>
    </r>
    <r>
      <rPr>
        <sz val="10"/>
        <rFont val="Calibri"/>
        <family val="2"/>
        <scheme val="minor"/>
      </rPr>
      <t xml:space="preserve"> (PTWIOT - PTGVRO), MAX(PTBC+PTSPC+PTGVROC-PTMT,0)]</t>
    </r>
  </si>
  <si>
    <t>http://dog.dnr.alaska.gov/Royalty/ReportingInstructions.htm</t>
  </si>
  <si>
    <t xml:space="preserve">                  </t>
  </si>
  <si>
    <t>For a complete listing of the NPSL instructions, go to the Division of Oil and Gas website at:</t>
  </si>
  <si>
    <t>READ ME INSTRUCTIONS FOR NPSL REPORTING UNDER PROPOSED REGULATIONS</t>
  </si>
  <si>
    <t>This set of six templates is provided to offer support in filing NPSL reports. The tabs with the suffix "- Example" provide detailed information about each of the entries on the NPSL reports; the volumes/value (VV), account (AC) and the production tax lease allowance (PT) reports. The tabs with the suffix " - Master" contain the same entries as the "-Example"  tabs but are formatted to allow for filing into our system. The PT report tabs are the only tabs that would be modified to be consistent with the proposed regulations.  The PT-Example and PT-Master Tabs have been modified to illustrate how these reports would change if the recently proposed regulations are adopted. 
The spreadsheet form “PT-Example” contains the most detailed information.  The entries marked in light green are the entries that would be added due to the newly proposed regulations.  For each entry we include the following information:
1. a short acronym
2. a  short description of the entry, 
3. a description of the source of the entry (other NPSL report (AC or VV), information required to be input by the lessee that is not from another report (marked in orange), or the formula used to determine the entry)
4. A regulatory cite so the viewer can tie the calculations required to the regulations
5. The amount of the entry itself
To aid in following the formulas, in the first few columns of the PT-Example worksheet we include some constants used in the calculations.
Much of the information used in the PT report comes from the AC report.  The AC report would not be modified in response to the proposed regulations, and is shown here to illustrate the relationship between the AC and PT reports. In the AC-Example form, the entries in yellow show where the PT report calculations feed back into the AC report. The AC-Master spreadsheet provides a filing template for the AC report.  
The VV report as shown in VV-Example and VV-Master provides information that feeds into the AC report, and also, in some cases, feeds directly into the PT report.</t>
  </si>
  <si>
    <r>
      <t xml:space="preserve">For a copy of the </t>
    </r>
    <r>
      <rPr>
        <i/>
        <sz val="12"/>
        <rFont val="Arial"/>
        <family val="2"/>
      </rPr>
      <t>Draft PT Report Instructions for Proposed Changes to NPSL Regulations-4Sep2013,</t>
    </r>
    <r>
      <rPr>
        <sz val="12"/>
        <rFont val="Arial"/>
        <family val="2"/>
      </rPr>
      <t>go to:</t>
    </r>
  </si>
  <si>
    <r>
      <t>Detailed instructions for the PT report, as they would be modified per the recently proposed regulations, are in the document called '</t>
    </r>
    <r>
      <rPr>
        <i/>
        <sz val="12"/>
        <rFont val="Arial"/>
        <family val="2"/>
      </rPr>
      <t>Draft PT Report Instructions for Proposed Changes to NPSL Regulations-4Sep2013</t>
    </r>
    <r>
      <rPr>
        <sz val="12"/>
        <rFont val="Arial"/>
        <family val="2"/>
      </rPr>
      <t>'. These instructions would be substituted for the PT report section in the existing instructions if the recently proposed regulations are adopted.</t>
    </r>
  </si>
  <si>
    <t>http://dog.dnr.alaska.gov/AboutUs/PublicNotices.htm#pnother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</si>
</sst>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0.00_);[Red]\(&quot;$&quot;#,##0.00\)"/>
    <numFmt numFmtId="44" formatCode="_(&quot;$&quot;* #,##0.00_);_(&quot;$&quot;* \(#,##0.00\);_(&quot;$&quot;* &quot;-&quot;??_);_(@_)"/>
    <numFmt numFmtId="43" formatCode="_(* #,##0.00_);_(* \(#,##0.00\);_(* &quot;-&quot;??_);_(@_)"/>
    <numFmt numFmtId="164" formatCode="mm/dd/yyyy"/>
    <numFmt numFmtId="165" formatCode="&quot;$&quot;#,##0.00"/>
    <numFmt numFmtId="166" formatCode="0.0%"/>
    <numFmt numFmtId="167" formatCode="0.000"/>
    <numFmt numFmtId="168" formatCode="[$-409]mmm\-yy;@"/>
    <numFmt numFmtId="169" formatCode="0.0000000"/>
    <numFmt numFmtId="170" formatCode="&quot;$&quot;#,##0.00000"/>
    <numFmt numFmtId="171" formatCode="#,##0.00000"/>
    <numFmt numFmtId="172" formatCode="0.00000%"/>
    <numFmt numFmtId="173" formatCode="0.00000"/>
    <numFmt numFmtId="174" formatCode="#,##0.00000_);\(#,##0.00000\)"/>
    <numFmt numFmtId="175" formatCode="0.0"/>
    <numFmt numFmtId="176" formatCode="&quot;$&quot;#,##0.00000_);[Red]\(&quot;$&quot;#,##0.00000\)"/>
    <numFmt numFmtId="177" formatCode="#,##0.00000_);[Red]\(#,##0.00000\)"/>
    <numFmt numFmtId="178" formatCode="0.00000_);[Red]\(0.00000\)"/>
  </numFmts>
  <fonts count="62" x14ac:knownFonts="1">
    <font>
      <sz val="10"/>
      <name val="Arial"/>
    </font>
    <font>
      <sz val="10"/>
      <name val="Arial"/>
      <family val="2"/>
    </font>
    <font>
      <sz val="8"/>
      <name val="Arial"/>
      <family val="2"/>
    </font>
    <font>
      <b/>
      <sz val="8"/>
      <color indexed="20"/>
      <name val="Arial"/>
      <family val="2"/>
    </font>
    <font>
      <sz val="8"/>
      <color indexed="16"/>
      <name val="Arial"/>
      <family val="2"/>
    </font>
    <font>
      <b/>
      <sz val="8"/>
      <name val="Arial"/>
      <family val="2"/>
    </font>
    <font>
      <b/>
      <sz val="14"/>
      <name val="Arial"/>
      <family val="2"/>
    </font>
    <font>
      <b/>
      <sz val="13"/>
      <name val="Arial"/>
      <family val="2"/>
    </font>
    <font>
      <sz val="10"/>
      <name val="Arial"/>
      <family val="2"/>
    </font>
    <font>
      <b/>
      <sz val="8"/>
      <name val="Arial"/>
      <family val="2"/>
    </font>
    <font>
      <sz val="10"/>
      <name val="Arial"/>
      <family val="2"/>
    </font>
    <font>
      <b/>
      <sz val="12"/>
      <name val="Arial"/>
      <family val="2"/>
    </font>
    <font>
      <sz val="10"/>
      <name val="MS Sans Serif"/>
      <family val="2"/>
    </font>
    <font>
      <b/>
      <sz val="10"/>
      <color indexed="8"/>
      <name val="Calibri"/>
      <family val="2"/>
    </font>
    <font>
      <sz val="10"/>
      <color indexed="8"/>
      <name val="Calibri"/>
      <family val="2"/>
    </font>
    <font>
      <sz val="10"/>
      <name val="Calibri"/>
      <family val="2"/>
    </font>
    <font>
      <b/>
      <sz val="12"/>
      <color indexed="8"/>
      <name val="Calibri"/>
      <family val="2"/>
    </font>
    <font>
      <b/>
      <sz val="10"/>
      <name val="Calibri"/>
      <family val="2"/>
    </font>
    <font>
      <b/>
      <sz val="10"/>
      <name val="Arial"/>
      <family val="2"/>
    </font>
    <font>
      <sz val="10"/>
      <color indexed="17"/>
      <name val="Calibri"/>
      <family val="2"/>
    </font>
    <font>
      <b/>
      <sz val="11"/>
      <name val="Calibri"/>
      <family val="2"/>
    </font>
    <font>
      <b/>
      <sz val="12"/>
      <name val="Calibri"/>
      <family val="2"/>
    </font>
    <font>
      <sz val="14"/>
      <name val="Calibri"/>
      <family val="2"/>
    </font>
    <font>
      <b/>
      <vertAlign val="subscript"/>
      <sz val="16"/>
      <name val="Calibri"/>
      <family val="2"/>
    </font>
    <font>
      <sz val="12"/>
      <name val="Calibri"/>
      <family val="2"/>
    </font>
    <font>
      <sz val="10"/>
      <color rgb="FF3F3F76"/>
      <name val="Arial"/>
      <family val="2"/>
    </font>
    <font>
      <sz val="10"/>
      <color theme="1"/>
      <name val="Arial"/>
      <family val="2"/>
    </font>
    <font>
      <b/>
      <sz val="12"/>
      <color theme="1"/>
      <name val="Arial"/>
      <family val="2"/>
    </font>
    <font>
      <b/>
      <sz val="8"/>
      <color rgb="FF800080"/>
      <name val="Arial"/>
      <family val="2"/>
    </font>
    <font>
      <b/>
      <u/>
      <sz val="12"/>
      <color theme="1"/>
      <name val="Arial"/>
      <family val="2"/>
    </font>
    <font>
      <b/>
      <sz val="11"/>
      <color theme="1"/>
      <name val="Arial"/>
      <family val="2"/>
    </font>
    <font>
      <sz val="10"/>
      <name val="Calibri"/>
      <family val="2"/>
      <scheme val="minor"/>
    </font>
    <font>
      <sz val="10"/>
      <color theme="1"/>
      <name val="Calibri"/>
      <family val="2"/>
      <scheme val="minor"/>
    </font>
    <font>
      <b/>
      <sz val="10"/>
      <name val="Calibri"/>
      <family val="2"/>
      <scheme val="minor"/>
    </font>
    <font>
      <b/>
      <sz val="10"/>
      <color theme="1"/>
      <name val="Arial"/>
      <family val="2"/>
    </font>
    <font>
      <sz val="10"/>
      <color rgb="FFFF0000"/>
      <name val="Calibri"/>
      <family val="2"/>
      <scheme val="minor"/>
    </font>
    <font>
      <sz val="10"/>
      <color theme="1"/>
      <name val="Calibri"/>
      <family val="2"/>
    </font>
    <font>
      <sz val="10"/>
      <color theme="5" tint="-0.249977111117893"/>
      <name val="Calibri"/>
      <family val="2"/>
      <scheme val="minor"/>
    </font>
    <font>
      <u/>
      <sz val="10"/>
      <color theme="1"/>
      <name val="Arial"/>
      <family val="2"/>
    </font>
    <font>
      <sz val="10"/>
      <color theme="5" tint="-0.249977111117893"/>
      <name val="Arial"/>
      <family val="2"/>
    </font>
    <font>
      <i/>
      <sz val="10"/>
      <color theme="1"/>
      <name val="Arial"/>
      <family val="2"/>
    </font>
    <font>
      <i/>
      <sz val="10"/>
      <color theme="0" tint="-0.499984740745262"/>
      <name val="Arial"/>
      <family val="2"/>
    </font>
    <font>
      <i/>
      <u/>
      <sz val="10"/>
      <name val="Arial"/>
      <family val="2"/>
    </font>
    <font>
      <i/>
      <sz val="10"/>
      <color indexed="23"/>
      <name val="Arial"/>
      <family val="2"/>
    </font>
    <font>
      <i/>
      <sz val="10"/>
      <name val="Arial"/>
      <family val="2"/>
    </font>
    <font>
      <i/>
      <u val="double"/>
      <sz val="10"/>
      <color indexed="60"/>
      <name val="Arial"/>
      <family val="2"/>
    </font>
    <font>
      <i/>
      <sz val="10"/>
      <color theme="1" tint="0.34998626667073579"/>
      <name val="Arial"/>
      <family val="2"/>
    </font>
    <font>
      <b/>
      <i/>
      <sz val="10"/>
      <color indexed="17"/>
      <name val="Arial"/>
      <family val="2"/>
    </font>
    <font>
      <b/>
      <i/>
      <u/>
      <sz val="10"/>
      <color theme="8" tint="-0.249977111117893"/>
      <name val="Arial"/>
      <family val="2"/>
    </font>
    <font>
      <i/>
      <u/>
      <sz val="10"/>
      <color indexed="8"/>
      <name val="Arial"/>
      <family val="2"/>
    </font>
    <font>
      <i/>
      <u/>
      <sz val="10"/>
      <color indexed="60"/>
      <name val="Arial"/>
      <family val="2"/>
    </font>
    <font>
      <u/>
      <sz val="10"/>
      <color indexed="60"/>
      <name val="Arial"/>
      <family val="2"/>
    </font>
    <font>
      <sz val="9"/>
      <color theme="1"/>
      <name val="Arial"/>
      <family val="2"/>
    </font>
    <font>
      <b/>
      <sz val="12"/>
      <color theme="1"/>
      <name val="Calibri"/>
      <family val="2"/>
      <scheme val="minor"/>
    </font>
    <font>
      <b/>
      <sz val="12"/>
      <name val="Calibri"/>
      <family val="2"/>
      <scheme val="minor"/>
    </font>
    <font>
      <sz val="10"/>
      <color rgb="FF7030A0"/>
      <name val="Arial"/>
      <family val="2"/>
    </font>
    <font>
      <u/>
      <sz val="10"/>
      <color theme="10"/>
      <name val="Arial"/>
      <family val="2"/>
    </font>
    <font>
      <u/>
      <sz val="16"/>
      <color theme="10"/>
      <name val="Arial"/>
      <family val="2"/>
    </font>
    <font>
      <b/>
      <sz val="16"/>
      <name val="Arial"/>
      <family val="2"/>
    </font>
    <font>
      <u/>
      <sz val="14"/>
      <color theme="10"/>
      <name val="Arial"/>
      <family val="2"/>
    </font>
    <font>
      <sz val="12"/>
      <name val="Arial"/>
      <family val="2"/>
    </font>
    <font>
      <i/>
      <sz val="12"/>
      <name val="Arial"/>
      <family val="2"/>
    </font>
  </fonts>
  <fills count="1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rgb="FFFFCC99"/>
      </patternFill>
    </fill>
    <fill>
      <patternFill patternType="solid">
        <fgColor theme="0" tint="-0.24994659260841701"/>
        <bgColor indexed="64"/>
      </patternFill>
    </fill>
    <fill>
      <patternFill patternType="solid">
        <fgColor rgb="FFFFCC99"/>
        <bgColor indexed="64"/>
      </patternFill>
    </fill>
    <fill>
      <patternFill patternType="solid">
        <fgColor rgb="FFC0C0C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
    <xf numFmtId="0" fontId="0" fillId="0" borderId="0"/>
    <xf numFmtId="40" fontId="12" fillId="0" borderId="0" applyFont="0" applyFill="0" applyBorder="0" applyAlignment="0" applyProtection="0"/>
    <xf numFmtId="0" fontId="25" fillId="4" borderId="31" applyNumberFormat="0" applyAlignment="0" applyProtection="0"/>
    <xf numFmtId="0" fontId="12" fillId="0" borderId="0"/>
    <xf numFmtId="0" fontId="26" fillId="0" borderId="0"/>
    <xf numFmtId="0" fontId="8" fillId="0" borderId="0"/>
    <xf numFmtId="0" fontId="12" fillId="0" borderId="0"/>
    <xf numFmtId="0" fontId="8" fillId="0" borderId="0"/>
    <xf numFmtId="0" fontId="12" fillId="0" borderId="0"/>
    <xf numFmtId="9" fontId="1" fillId="0" borderId="0" applyFont="0" applyFill="0" applyBorder="0" applyAlignment="0" applyProtection="0"/>
    <xf numFmtId="9" fontId="26" fillId="0" borderId="0" applyFont="0" applyFill="0" applyBorder="0" applyAlignment="0" applyProtection="0"/>
    <xf numFmtId="0" fontId="56" fillId="0" borderId="0" applyNumberFormat="0" applyFill="0" applyBorder="0" applyAlignment="0" applyProtection="0"/>
  </cellStyleXfs>
  <cellXfs count="415">
    <xf numFmtId="0" fontId="0" fillId="0" borderId="0" xfId="0"/>
    <xf numFmtId="0" fontId="2" fillId="2" borderId="0" xfId="0" applyFont="1" applyFill="1" applyProtection="1"/>
    <xf numFmtId="0" fontId="3" fillId="2" borderId="0" xfId="0" applyFont="1" applyFill="1" applyProtection="1"/>
    <xf numFmtId="0" fontId="5" fillId="2" borderId="0" xfId="0" applyFont="1" applyFill="1" applyProtection="1"/>
    <xf numFmtId="0" fontId="2" fillId="0" borderId="0" xfId="0" applyFont="1" applyAlignment="1" applyProtection="1">
      <alignment horizontal="center"/>
      <protection locked="0"/>
    </xf>
    <xf numFmtId="0" fontId="2" fillId="0" borderId="0" xfId="0" applyFont="1" applyProtection="1">
      <protection locked="0"/>
    </xf>
    <xf numFmtId="0" fontId="3" fillId="3" borderId="1" xfId="0" applyFont="1" applyFill="1" applyBorder="1" applyAlignment="1" applyProtection="1">
      <alignment horizontal="center" vertical="top" wrapText="1"/>
    </xf>
    <xf numFmtId="0" fontId="2" fillId="0" borderId="0" xfId="0" applyFont="1" applyAlignment="1" applyProtection="1">
      <alignment horizontal="right"/>
      <protection locked="0"/>
    </xf>
    <xf numFmtId="0" fontId="2" fillId="0" borderId="0" xfId="0" applyFont="1" applyFill="1" applyProtection="1">
      <protection locked="0"/>
    </xf>
    <xf numFmtId="0" fontId="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6" fillId="0" borderId="0" xfId="0" applyFont="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5" borderId="0" xfId="0" applyFont="1" applyFill="1" applyProtection="1"/>
    <xf numFmtId="0" fontId="4" fillId="5" borderId="0" xfId="0" applyFont="1" applyFill="1" applyProtection="1"/>
    <xf numFmtId="0" fontId="2" fillId="0" borderId="0" xfId="0" applyFont="1" applyFill="1" applyAlignment="1" applyProtection="1">
      <alignment horizontal="center"/>
    </xf>
    <xf numFmtId="0" fontId="10" fillId="0" borderId="3" xfId="0" applyFont="1" applyBorder="1" applyAlignment="1">
      <alignment horizontal="center"/>
    </xf>
    <xf numFmtId="0" fontId="9" fillId="2" borderId="0" xfId="0" applyFont="1" applyFill="1" applyProtection="1"/>
    <xf numFmtId="0" fontId="2" fillId="7" borderId="0" xfId="0" applyFont="1" applyFill="1" applyProtection="1"/>
    <xf numFmtId="0" fontId="3" fillId="7" borderId="0" xfId="0" applyFont="1" applyFill="1" applyProtection="1"/>
    <xf numFmtId="0" fontId="0" fillId="7" borderId="0" xfId="0" applyFill="1"/>
    <xf numFmtId="0" fontId="4" fillId="7" borderId="0" xfId="0" applyFont="1" applyFill="1" applyProtection="1"/>
    <xf numFmtId="0" fontId="26" fillId="0" borderId="0" xfId="4" applyFill="1"/>
    <xf numFmtId="0" fontId="26" fillId="0" borderId="0" xfId="4"/>
    <xf numFmtId="0" fontId="29" fillId="0" borderId="0" xfId="4" applyFont="1" applyAlignment="1">
      <alignment horizontal="left"/>
    </xf>
    <xf numFmtId="0" fontId="6" fillId="0" borderId="0" xfId="4" applyFont="1" applyBorder="1" applyAlignment="1" applyProtection="1">
      <alignment horizontal="center" vertical="center"/>
    </xf>
    <xf numFmtId="0" fontId="6" fillId="0" borderId="0" xfId="4" applyFont="1" applyFill="1" applyAlignment="1" applyProtection="1">
      <alignment horizontal="center" vertical="center"/>
    </xf>
    <xf numFmtId="0" fontId="5" fillId="2" borderId="0" xfId="4" applyFont="1" applyFill="1" applyProtection="1"/>
    <xf numFmtId="0" fontId="2" fillId="2" borderId="0" xfId="4" applyFont="1" applyFill="1" applyAlignment="1" applyProtection="1">
      <alignment horizontal="center"/>
    </xf>
    <xf numFmtId="0" fontId="2" fillId="2" borderId="0" xfId="4" applyFont="1" applyFill="1" applyProtection="1"/>
    <xf numFmtId="0" fontId="5" fillId="5" borderId="0" xfId="4" applyFont="1" applyFill="1" applyProtection="1"/>
    <xf numFmtId="0" fontId="4" fillId="5" borderId="0" xfId="4" applyFont="1" applyFill="1" applyAlignment="1" applyProtection="1">
      <alignment horizontal="center"/>
    </xf>
    <xf numFmtId="0" fontId="2" fillId="8" borderId="0" xfId="8" applyNumberFormat="1" applyFont="1" applyFill="1" applyBorder="1" applyAlignment="1" applyProtection="1">
      <alignment horizontal="center"/>
      <protection locked="0"/>
    </xf>
    <xf numFmtId="0" fontId="4" fillId="5" borderId="0" xfId="4" applyFont="1" applyFill="1" applyProtection="1"/>
    <xf numFmtId="9" fontId="25" fillId="0" borderId="0" xfId="2" applyNumberFormat="1" applyFill="1" applyBorder="1"/>
    <xf numFmtId="165" fontId="25" fillId="0" borderId="0" xfId="2" applyNumberFormat="1" applyFill="1" applyBorder="1"/>
    <xf numFmtId="10" fontId="25" fillId="0" borderId="0" xfId="2" applyNumberFormat="1" applyFill="1" applyBorder="1"/>
    <xf numFmtId="0" fontId="26" fillId="0" borderId="0" xfId="3" applyFont="1" applyFill="1"/>
    <xf numFmtId="0" fontId="3" fillId="3" borderId="1" xfId="4" applyFont="1" applyFill="1" applyBorder="1" applyAlignment="1" applyProtection="1">
      <alignment horizontal="center" vertical="top" wrapText="1"/>
    </xf>
    <xf numFmtId="0" fontId="26" fillId="0" borderId="0" xfId="3" applyFont="1" applyAlignment="1">
      <alignment horizontal="center"/>
    </xf>
    <xf numFmtId="0" fontId="27" fillId="0" borderId="0" xfId="3" applyFont="1" applyFill="1" applyBorder="1" applyAlignment="1">
      <alignment horizontal="center" wrapText="1"/>
    </xf>
    <xf numFmtId="0" fontId="26" fillId="0" borderId="0" xfId="4" applyBorder="1"/>
    <xf numFmtId="0" fontId="30" fillId="0" borderId="0" xfId="3" applyFont="1" applyFill="1" applyBorder="1" applyAlignment="1">
      <alignment horizontal="center" vertical="center" wrapText="1"/>
    </xf>
    <xf numFmtId="0" fontId="26" fillId="0" borderId="0" xfId="3" applyFont="1" applyFill="1" applyBorder="1"/>
    <xf numFmtId="0" fontId="27" fillId="0" borderId="0" xfId="3" applyFont="1" applyFill="1" applyBorder="1" applyAlignment="1">
      <alignment horizontal="center"/>
    </xf>
    <xf numFmtId="0" fontId="26" fillId="0" borderId="0" xfId="3" applyFont="1"/>
    <xf numFmtId="0" fontId="26" fillId="0" borderId="0" xfId="4" applyAlignment="1">
      <alignment vertical="center"/>
    </xf>
    <xf numFmtId="9" fontId="25" fillId="0" borderId="0" xfId="2" applyNumberFormat="1" applyFill="1" applyBorder="1" applyAlignment="1">
      <alignment vertical="center"/>
    </xf>
    <xf numFmtId="0" fontId="26" fillId="0" borderId="0" xfId="3" applyFont="1" applyFill="1" applyAlignment="1">
      <alignment vertical="center"/>
    </xf>
    <xf numFmtId="0" fontId="26" fillId="0" borderId="0" xfId="4" applyFont="1"/>
    <xf numFmtId="0" fontId="6" fillId="0" borderId="0" xfId="4" applyFont="1" applyFill="1" applyAlignment="1" applyProtection="1">
      <alignment vertical="center"/>
    </xf>
    <xf numFmtId="0" fontId="6" fillId="0" borderId="0" xfId="4" applyFont="1" applyFill="1" applyAlignment="1" applyProtection="1">
      <alignment horizontal="right" vertical="center"/>
    </xf>
    <xf numFmtId="0" fontId="2" fillId="2" borderId="0" xfId="5" applyFont="1" applyFill="1" applyProtection="1"/>
    <xf numFmtId="0" fontId="2" fillId="2" borderId="0" xfId="5" applyFont="1" applyFill="1" applyAlignment="1" applyProtection="1">
      <alignment horizontal="center"/>
    </xf>
    <xf numFmtId="0" fontId="5" fillId="2" borderId="0" xfId="5" applyFont="1" applyFill="1" applyProtection="1"/>
    <xf numFmtId="0" fontId="4" fillId="2" borderId="0" xfId="5" applyFont="1" applyFill="1" applyProtection="1"/>
    <xf numFmtId="0" fontId="5" fillId="3" borderId="1" xfId="5" applyFont="1" applyFill="1" applyBorder="1" applyAlignment="1" applyProtection="1">
      <alignment horizontal="center" vertical="top" wrapText="1"/>
    </xf>
    <xf numFmtId="0" fontId="2" fillId="0" borderId="5" xfId="6" applyFont="1" applyBorder="1" applyAlignment="1" applyProtection="1">
      <alignment horizontal="center"/>
      <protection locked="0"/>
    </xf>
    <xf numFmtId="0" fontId="2" fillId="0" borderId="6" xfId="8" applyFont="1" applyBorder="1" applyAlignment="1" applyProtection="1">
      <alignment horizontal="center"/>
      <protection locked="0"/>
    </xf>
    <xf numFmtId="1" fontId="2" fillId="0" borderId="6" xfId="8" applyNumberFormat="1" applyFont="1" applyBorder="1" applyAlignment="1" applyProtection="1">
      <alignment horizontal="center"/>
      <protection locked="0"/>
    </xf>
    <xf numFmtId="0" fontId="2" fillId="0" borderId="6" xfId="5" applyFont="1" applyBorder="1" applyAlignment="1" applyProtection="1">
      <alignment horizontal="center"/>
      <protection locked="0"/>
    </xf>
    <xf numFmtId="0" fontId="2" fillId="0" borderId="6" xfId="5" quotePrefix="1" applyFont="1" applyBorder="1" applyAlignment="1" applyProtection="1">
      <alignment horizontal="center"/>
      <protection locked="0"/>
    </xf>
    <xf numFmtId="0" fontId="2" fillId="0" borderId="6" xfId="5" applyFont="1" applyFill="1" applyBorder="1" applyAlignment="1" applyProtection="1">
      <alignment horizontal="center"/>
      <protection locked="0"/>
    </xf>
    <xf numFmtId="0" fontId="2" fillId="0" borderId="6" xfId="5" quotePrefix="1" applyFont="1" applyFill="1" applyBorder="1" applyAlignment="1" applyProtection="1">
      <alignment horizontal="center"/>
      <protection locked="0"/>
    </xf>
    <xf numFmtId="1" fontId="2" fillId="0" borderId="6" xfId="8" applyNumberFormat="1" applyFont="1" applyFill="1" applyBorder="1" applyAlignment="1" applyProtection="1">
      <alignment horizontal="center"/>
      <protection locked="0"/>
    </xf>
    <xf numFmtId="1" fontId="2" fillId="0" borderId="6" xfId="6" applyNumberFormat="1" applyFont="1" applyBorder="1" applyAlignment="1" applyProtection="1">
      <alignment horizontal="center"/>
      <protection locked="0"/>
    </xf>
    <xf numFmtId="0" fontId="2" fillId="0" borderId="6" xfId="6" applyFont="1" applyBorder="1" applyAlignment="1" applyProtection="1">
      <alignment horizontal="center"/>
      <protection locked="0"/>
    </xf>
    <xf numFmtId="0" fontId="2" fillId="0" borderId="6" xfId="8" applyFont="1" applyFill="1" applyBorder="1" applyAlignment="1" applyProtection="1">
      <alignment horizontal="center"/>
      <protection locked="0"/>
    </xf>
    <xf numFmtId="1" fontId="2" fillId="0" borderId="6" xfId="6" applyNumberFormat="1" applyFont="1" applyFill="1" applyBorder="1" applyAlignment="1" applyProtection="1">
      <alignment horizontal="center"/>
      <protection locked="0"/>
    </xf>
    <xf numFmtId="0" fontId="2" fillId="0" borderId="6" xfId="6" applyFont="1" applyFill="1" applyBorder="1" applyAlignment="1" applyProtection="1">
      <alignment horizontal="center"/>
      <protection locked="0"/>
    </xf>
    <xf numFmtId="0" fontId="2" fillId="0" borderId="0" xfId="5" applyFont="1" applyProtection="1">
      <protection locked="0"/>
    </xf>
    <xf numFmtId="0" fontId="2" fillId="0" borderId="0" xfId="5" applyFont="1" applyAlignment="1" applyProtection="1">
      <alignment horizontal="right"/>
      <protection locked="0"/>
    </xf>
    <xf numFmtId="0" fontId="11" fillId="0" borderId="7" xfId="5" applyFont="1" applyBorder="1" applyProtection="1">
      <protection locked="0"/>
    </xf>
    <xf numFmtId="0" fontId="2" fillId="0" borderId="8" xfId="5" applyFont="1" applyBorder="1" applyProtection="1">
      <protection locked="0"/>
    </xf>
    <xf numFmtId="2" fontId="2" fillId="0" borderId="9" xfId="5" applyNumberFormat="1" applyFont="1" applyBorder="1" applyAlignment="1" applyProtection="1">
      <alignment horizontal="right"/>
      <protection locked="0"/>
    </xf>
    <xf numFmtId="0" fontId="2" fillId="0" borderId="10" xfId="5" applyFont="1" applyBorder="1" applyProtection="1">
      <protection locked="0"/>
    </xf>
    <xf numFmtId="0" fontId="2" fillId="0" borderId="0" xfId="5" applyFont="1" applyBorder="1" applyProtection="1">
      <protection locked="0"/>
    </xf>
    <xf numFmtId="0" fontId="2" fillId="0" borderId="11" xfId="5" applyFont="1" applyBorder="1" applyAlignment="1" applyProtection="1">
      <alignment horizontal="right"/>
      <protection locked="0"/>
    </xf>
    <xf numFmtId="0" fontId="18" fillId="8" borderId="10" xfId="8" quotePrefix="1" applyNumberFormat="1" applyFont="1" applyFill="1" applyBorder="1" applyAlignment="1" applyProtection="1">
      <alignment horizontal="left"/>
      <protection locked="0"/>
    </xf>
    <xf numFmtId="0" fontId="2" fillId="8" borderId="11" xfId="8" applyNumberFormat="1" applyFont="1" applyFill="1" applyBorder="1" applyAlignment="1" applyProtection="1">
      <alignment horizontal="center"/>
      <protection locked="0"/>
    </xf>
    <xf numFmtId="0" fontId="18" fillId="10" borderId="10" xfId="5" quotePrefix="1" applyNumberFormat="1" applyFont="1" applyFill="1" applyBorder="1" applyAlignment="1">
      <alignment horizontal="left"/>
    </xf>
    <xf numFmtId="44" fontId="2" fillId="10" borderId="0" xfId="5" applyNumberFormat="1" applyFont="1" applyFill="1" applyBorder="1" applyAlignment="1">
      <alignment horizontal="right"/>
    </xf>
    <xf numFmtId="44" fontId="2" fillId="10" borderId="11" xfId="5" applyNumberFormat="1" applyFont="1" applyFill="1" applyBorder="1" applyAlignment="1">
      <alignment horizontal="right"/>
    </xf>
    <xf numFmtId="0" fontId="18" fillId="11" borderId="10" xfId="8" quotePrefix="1" applyNumberFormat="1" applyFont="1" applyFill="1" applyBorder="1" applyAlignment="1" applyProtection="1">
      <alignment horizontal="left"/>
      <protection locked="0"/>
    </xf>
    <xf numFmtId="0" fontId="2" fillId="11" borderId="0" xfId="8" applyNumberFormat="1" applyFont="1" applyFill="1" applyBorder="1" applyProtection="1">
      <protection locked="0"/>
    </xf>
    <xf numFmtId="0" fontId="2" fillId="11" borderId="11" xfId="8" applyNumberFormat="1" applyFont="1" applyFill="1" applyBorder="1" applyProtection="1">
      <protection locked="0"/>
    </xf>
    <xf numFmtId="0" fontId="2" fillId="0" borderId="12" xfId="5" applyFont="1" applyBorder="1" applyProtection="1">
      <protection locked="0"/>
    </xf>
    <xf numFmtId="0" fontId="2" fillId="0" borderId="13" xfId="5" applyFont="1" applyBorder="1" applyProtection="1">
      <protection locked="0"/>
    </xf>
    <xf numFmtId="0" fontId="2" fillId="0" borderId="14" xfId="5" applyFont="1" applyBorder="1" applyAlignment="1" applyProtection="1">
      <alignment horizontal="right"/>
      <protection locked="0"/>
    </xf>
    <xf numFmtId="0" fontId="3" fillId="2" borderId="0" xfId="4" applyFont="1" applyFill="1" applyProtection="1"/>
    <xf numFmtId="0" fontId="2" fillId="7" borderId="0" xfId="4" applyFont="1" applyFill="1" applyProtection="1"/>
    <xf numFmtId="0" fontId="4" fillId="7" borderId="0" xfId="4" applyFont="1" applyFill="1" applyProtection="1"/>
    <xf numFmtId="1" fontId="2" fillId="0" borderId="6" xfId="6" quotePrefix="1" applyNumberFormat="1" applyFont="1" applyBorder="1" applyAlignment="1" applyProtection="1">
      <alignment horizontal="center"/>
      <protection locked="0"/>
    </xf>
    <xf numFmtId="49" fontId="2" fillId="0" borderId="6" xfId="5" quotePrefix="1" applyNumberFormat="1" applyFont="1" applyBorder="1" applyAlignment="1" applyProtection="1">
      <alignment horizontal="center"/>
      <protection locked="0"/>
    </xf>
    <xf numFmtId="0" fontId="2" fillId="0" borderId="6" xfId="6" quotePrefix="1" applyFont="1" applyBorder="1" applyAlignment="1" applyProtection="1">
      <alignment horizontal="center"/>
      <protection locked="0"/>
    </xf>
    <xf numFmtId="1" fontId="2" fillId="0" borderId="6" xfId="8" quotePrefix="1" applyNumberFormat="1" applyFont="1" applyBorder="1" applyAlignment="1" applyProtection="1">
      <alignment horizontal="center"/>
      <protection locked="0"/>
    </xf>
    <xf numFmtId="1" fontId="2" fillId="0" borderId="6" xfId="6" quotePrefix="1" applyNumberFormat="1" applyFont="1" applyFill="1" applyBorder="1" applyAlignment="1" applyProtection="1">
      <alignment horizontal="center"/>
      <protection locked="0"/>
    </xf>
    <xf numFmtId="0" fontId="2" fillId="0" borderId="6" xfId="8" quotePrefix="1" applyFont="1" applyBorder="1" applyAlignment="1" applyProtection="1">
      <alignment horizontal="center"/>
      <protection locked="0"/>
    </xf>
    <xf numFmtId="165" fontId="2" fillId="0" borderId="0" xfId="5" applyNumberFormat="1" applyFont="1" applyFill="1" applyProtection="1">
      <protection locked="0"/>
    </xf>
    <xf numFmtId="0" fontId="2" fillId="0" borderId="0" xfId="5" applyFont="1" applyFill="1" applyProtection="1">
      <protection locked="0"/>
    </xf>
    <xf numFmtId="169" fontId="2" fillId="0" borderId="0" xfId="5" applyNumberFormat="1" applyFont="1" applyAlignment="1" applyProtection="1">
      <alignment horizontal="right"/>
      <protection locked="0"/>
    </xf>
    <xf numFmtId="0" fontId="11" fillId="0" borderId="8" xfId="5" applyFont="1" applyBorder="1" applyProtection="1">
      <protection locked="0"/>
    </xf>
    <xf numFmtId="0" fontId="18" fillId="8" borderId="0" xfId="8" quotePrefix="1" applyNumberFormat="1" applyFont="1" applyFill="1" applyBorder="1" applyAlignment="1" applyProtection="1">
      <alignment horizontal="left"/>
      <protection locked="0"/>
    </xf>
    <xf numFmtId="0" fontId="18" fillId="10" borderId="0" xfId="5" quotePrefix="1" applyNumberFormat="1" applyFont="1" applyFill="1" applyBorder="1" applyAlignment="1">
      <alignment horizontal="left"/>
    </xf>
    <xf numFmtId="0" fontId="18" fillId="11" borderId="0" xfId="8" quotePrefix="1" applyNumberFormat="1" applyFont="1" applyFill="1" applyBorder="1" applyAlignment="1" applyProtection="1">
      <alignment horizontal="left"/>
      <protection locked="0"/>
    </xf>
    <xf numFmtId="43" fontId="31" fillId="12" borderId="1" xfId="1" applyNumberFormat="1" applyFont="1" applyFill="1" applyBorder="1"/>
    <xf numFmtId="0" fontId="2" fillId="0" borderId="0" xfId="0" applyFont="1" applyAlignment="1" applyProtection="1">
      <alignment horizontal="center" shrinkToFit="1"/>
      <protection locked="0"/>
    </xf>
    <xf numFmtId="0" fontId="0" fillId="0" borderId="0" xfId="0" applyAlignment="1">
      <alignment horizontal="center"/>
    </xf>
    <xf numFmtId="0" fontId="26" fillId="0" borderId="0" xfId="4" applyAlignment="1">
      <alignment horizontal="center"/>
    </xf>
    <xf numFmtId="0" fontId="26" fillId="0" borderId="0" xfId="3" applyFont="1" applyAlignment="1">
      <alignment horizontal="center" vertical="center"/>
    </xf>
    <xf numFmtId="0" fontId="26" fillId="0" borderId="0" xfId="4" applyFill="1" applyAlignment="1">
      <alignment horizontal="center"/>
    </xf>
    <xf numFmtId="9" fontId="25" fillId="0" borderId="0" xfId="2" applyNumberFormat="1" applyFill="1" applyBorder="1" applyAlignment="1">
      <alignment horizontal="center"/>
    </xf>
    <xf numFmtId="9" fontId="25" fillId="0" borderId="0" xfId="2" applyNumberFormat="1" applyFill="1" applyBorder="1" applyAlignment="1">
      <alignment horizontal="center" vertical="center"/>
    </xf>
    <xf numFmtId="4" fontId="2" fillId="0" borderId="6" xfId="8" applyNumberFormat="1" applyFont="1" applyBorder="1" applyProtection="1">
      <protection locked="0"/>
    </xf>
    <xf numFmtId="4" fontId="2" fillId="0" borderId="6" xfId="8" applyNumberFormat="1" applyFont="1" applyFill="1" applyBorder="1" applyProtection="1">
      <protection locked="0"/>
    </xf>
    <xf numFmtId="171" fontId="2" fillId="0" borderId="0" xfId="0" applyNumberFormat="1" applyFont="1" applyAlignment="1" applyProtection="1">
      <protection locked="0"/>
    </xf>
    <xf numFmtId="4" fontId="2" fillId="0" borderId="0" xfId="0" applyNumberFormat="1" applyFont="1" applyAlignment="1" applyProtection="1">
      <protection locked="0"/>
    </xf>
    <xf numFmtId="165" fontId="32" fillId="12" borderId="1" xfId="3" applyNumberFormat="1" applyFont="1" applyFill="1" applyBorder="1" applyAlignment="1">
      <alignment vertical="center"/>
    </xf>
    <xf numFmtId="4" fontId="0" fillId="0" borderId="3" xfId="0" applyNumberFormat="1" applyBorder="1"/>
    <xf numFmtId="4" fontId="0" fillId="0" borderId="15" xfId="0" applyNumberFormat="1" applyBorder="1"/>
    <xf numFmtId="172" fontId="31" fillId="0" borderId="3" xfId="3" applyNumberFormat="1" applyFont="1" applyFill="1" applyBorder="1" applyAlignment="1">
      <alignment horizontal="center"/>
    </xf>
    <xf numFmtId="0" fontId="33" fillId="12" borderId="1" xfId="3" applyFont="1" applyFill="1" applyBorder="1" applyAlignment="1">
      <alignment horizontal="center" vertical="center" wrapText="1"/>
    </xf>
    <xf numFmtId="172" fontId="8" fillId="0" borderId="15" xfId="0" applyNumberFormat="1" applyFont="1" applyBorder="1" applyAlignment="1">
      <alignment horizontal="center"/>
    </xf>
    <xf numFmtId="172" fontId="8" fillId="0" borderId="3" xfId="0" applyNumberFormat="1" applyFont="1" applyBorder="1" applyAlignment="1">
      <alignment horizontal="center"/>
    </xf>
    <xf numFmtId="172" fontId="2" fillId="0" borderId="0" xfId="0" applyNumberFormat="1" applyFont="1" applyAlignment="1" applyProtection="1">
      <alignment horizontal="center"/>
      <protection locked="0"/>
    </xf>
    <xf numFmtId="172" fontId="2" fillId="0" borderId="0" xfId="8" applyNumberFormat="1" applyFont="1" applyBorder="1" applyProtection="1">
      <protection locked="0"/>
    </xf>
    <xf numFmtId="172" fontId="2" fillId="0" borderId="6" xfId="8" applyNumberFormat="1" applyFont="1" applyBorder="1" applyProtection="1">
      <protection locked="0"/>
    </xf>
    <xf numFmtId="172" fontId="2" fillId="0" borderId="6" xfId="8" applyNumberFormat="1" applyFont="1" applyFill="1" applyBorder="1" applyProtection="1">
      <protection locked="0"/>
    </xf>
    <xf numFmtId="173" fontId="0" fillId="0" borderId="15" xfId="0" applyNumberFormat="1" applyBorder="1" applyAlignment="1">
      <alignment horizontal="center"/>
    </xf>
    <xf numFmtId="173" fontId="0" fillId="0" borderId="3" xfId="0" applyNumberFormat="1" applyBorder="1" applyAlignment="1">
      <alignment horizontal="center"/>
    </xf>
    <xf numFmtId="173" fontId="31" fillId="0" borderId="3" xfId="3" applyNumberFormat="1" applyFont="1" applyFill="1" applyBorder="1" applyAlignment="1">
      <alignment horizontal="center"/>
    </xf>
    <xf numFmtId="174" fontId="32" fillId="12" borderId="1" xfId="3" applyNumberFormat="1" applyFont="1" applyFill="1" applyBorder="1" applyAlignment="1">
      <alignment horizontal="center"/>
    </xf>
    <xf numFmtId="176" fontId="26" fillId="12" borderId="1" xfId="3" applyNumberFormat="1" applyFont="1" applyFill="1" applyBorder="1" applyAlignment="1">
      <alignment horizontal="center" vertical="center"/>
    </xf>
    <xf numFmtId="175" fontId="2" fillId="0" borderId="0" xfId="0" applyNumberFormat="1" applyFont="1" applyAlignment="1" applyProtection="1">
      <alignment horizontal="center"/>
      <protection locked="0"/>
    </xf>
    <xf numFmtId="0" fontId="10" fillId="0" borderId="3" xfId="0" applyFont="1" applyFill="1" applyBorder="1" applyAlignment="1">
      <alignment horizontal="center"/>
    </xf>
    <xf numFmtId="0" fontId="2" fillId="13" borderId="5" xfId="6" applyFont="1" applyFill="1" applyBorder="1" applyAlignment="1" applyProtection="1">
      <alignment horizontal="center"/>
      <protection locked="0"/>
    </xf>
    <xf numFmtId="0" fontId="2" fillId="13" borderId="6" xfId="6" applyFont="1" applyFill="1" applyBorder="1" applyAlignment="1" applyProtection="1">
      <alignment horizontal="center"/>
      <protection locked="0"/>
    </xf>
    <xf numFmtId="0" fontId="2" fillId="13" borderId="6" xfId="8" applyFont="1" applyFill="1" applyBorder="1" applyAlignment="1" applyProtection="1">
      <alignment horizontal="center"/>
      <protection locked="0"/>
    </xf>
    <xf numFmtId="175" fontId="2" fillId="13" borderId="5" xfId="8" applyNumberFormat="1" applyFont="1" applyFill="1" applyBorder="1" applyAlignment="1" applyProtection="1">
      <alignment horizontal="center"/>
      <protection locked="0"/>
    </xf>
    <xf numFmtId="0" fontId="1" fillId="13" borderId="3" xfId="0" applyFont="1" applyFill="1" applyBorder="1" applyAlignment="1">
      <alignment horizontal="center"/>
    </xf>
    <xf numFmtId="173" fontId="31" fillId="13" borderId="3" xfId="3" applyNumberFormat="1" applyFont="1" applyFill="1" applyBorder="1" applyAlignment="1">
      <alignment horizontal="center"/>
    </xf>
    <xf numFmtId="172" fontId="31" fillId="13" borderId="3" xfId="3" applyNumberFormat="1" applyFont="1" applyFill="1" applyBorder="1" applyAlignment="1">
      <alignment horizontal="center"/>
    </xf>
    <xf numFmtId="0" fontId="34" fillId="0" borderId="0" xfId="4" applyFont="1" applyFill="1"/>
    <xf numFmtId="0" fontId="0" fillId="0" borderId="0" xfId="0" applyFill="1"/>
    <xf numFmtId="1" fontId="2" fillId="0" borderId="6" xfId="8" quotePrefix="1" applyNumberFormat="1" applyFont="1" applyFill="1" applyBorder="1" applyAlignment="1" applyProtection="1">
      <alignment horizontal="center"/>
      <protection locked="0"/>
    </xf>
    <xf numFmtId="177" fontId="2" fillId="0" borderId="6" xfId="8" applyNumberFormat="1" applyFont="1" applyBorder="1" applyProtection="1">
      <protection locked="0"/>
    </xf>
    <xf numFmtId="177" fontId="2" fillId="0" borderId="6" xfId="8" applyNumberFormat="1" applyFont="1" applyFill="1" applyBorder="1" applyProtection="1">
      <protection locked="0"/>
    </xf>
    <xf numFmtId="40" fontId="2" fillId="0" borderId="6" xfId="8" applyNumberFormat="1" applyFont="1" applyFill="1" applyBorder="1" applyProtection="1">
      <protection locked="0"/>
    </xf>
    <xf numFmtId="40" fontId="2" fillId="8" borderId="6" xfId="8" applyNumberFormat="1" applyFont="1" applyFill="1" applyBorder="1" applyProtection="1">
      <protection locked="0"/>
    </xf>
    <xf numFmtId="40" fontId="2" fillId="11" borderId="6" xfId="8" applyNumberFormat="1" applyFont="1" applyFill="1" applyBorder="1" applyProtection="1">
      <protection locked="0"/>
    </xf>
    <xf numFmtId="40" fontId="2" fillId="10" borderId="6" xfId="8" applyNumberFormat="1" applyFont="1" applyFill="1" applyBorder="1" applyProtection="1">
      <protection locked="0"/>
    </xf>
    <xf numFmtId="0" fontId="26" fillId="0" borderId="1" xfId="3" applyFont="1" applyBorder="1" applyAlignment="1">
      <alignment horizontal="center"/>
    </xf>
    <xf numFmtId="0" fontId="32" fillId="0" borderId="1" xfId="3" applyFont="1" applyBorder="1"/>
    <xf numFmtId="0" fontId="32" fillId="0" borderId="1" xfId="3" applyFont="1" applyBorder="1" applyAlignment="1">
      <alignment horizontal="center"/>
    </xf>
    <xf numFmtId="8" fontId="32" fillId="0" borderId="1" xfId="3" applyNumberFormat="1" applyFont="1" applyFill="1" applyBorder="1"/>
    <xf numFmtId="0" fontId="26" fillId="0" borderId="1" xfId="3" applyFont="1" applyFill="1" applyBorder="1" applyAlignment="1">
      <alignment horizontal="center"/>
    </xf>
    <xf numFmtId="0" fontId="32" fillId="0" borderId="1" xfId="3" applyFont="1" applyFill="1" applyBorder="1" applyAlignment="1">
      <alignment horizontal="left"/>
    </xf>
    <xf numFmtId="0" fontId="32" fillId="0" borderId="1" xfId="3" applyFont="1" applyFill="1" applyBorder="1" applyAlignment="1">
      <alignment horizontal="center" wrapText="1"/>
    </xf>
    <xf numFmtId="165" fontId="32" fillId="0" borderId="1" xfId="3" applyNumberFormat="1" applyFont="1" applyFill="1" applyBorder="1"/>
    <xf numFmtId="172" fontId="32" fillId="0" borderId="1" xfId="3" applyNumberFormat="1" applyFont="1" applyFill="1" applyBorder="1" applyAlignment="1">
      <alignment horizontal="center"/>
    </xf>
    <xf numFmtId="0" fontId="32" fillId="0" borderId="1" xfId="3" quotePrefix="1" applyFont="1" applyFill="1" applyBorder="1" applyAlignment="1">
      <alignment horizontal="left"/>
    </xf>
    <xf numFmtId="0" fontId="32" fillId="0" borderId="1" xfId="3" applyFont="1" applyFill="1" applyBorder="1"/>
    <xf numFmtId="0" fontId="8" fillId="0" borderId="1" xfId="3" applyFont="1" applyBorder="1" applyAlignment="1">
      <alignment horizontal="center" wrapText="1"/>
    </xf>
    <xf numFmtId="0" fontId="32" fillId="0" borderId="1" xfId="3" quotePrefix="1" applyFont="1" applyFill="1" applyBorder="1" applyAlignment="1">
      <alignment horizontal="center" wrapText="1"/>
    </xf>
    <xf numFmtId="0" fontId="8" fillId="0" borderId="1" xfId="3" applyFont="1" applyBorder="1" applyAlignment="1">
      <alignment horizontal="center"/>
    </xf>
    <xf numFmtId="0" fontId="31" fillId="0" borderId="1" xfId="3" applyFont="1" applyFill="1" applyBorder="1" applyAlignment="1">
      <alignment horizontal="left" wrapText="1"/>
    </xf>
    <xf numFmtId="165" fontId="32" fillId="0" borderId="1" xfId="3" applyNumberFormat="1" applyFont="1" applyBorder="1"/>
    <xf numFmtId="0" fontId="8" fillId="0" borderId="1" xfId="3" applyFont="1" applyBorder="1" applyAlignment="1">
      <alignment horizontal="center" vertical="top"/>
    </xf>
    <xf numFmtId="0" fontId="32" fillId="0" borderId="1" xfId="3" quotePrefix="1" applyFont="1" applyFill="1" applyBorder="1" applyAlignment="1">
      <alignment horizontal="left" wrapText="1"/>
    </xf>
    <xf numFmtId="0" fontId="32" fillId="0" borderId="1" xfId="3" quotePrefix="1" applyFont="1" applyBorder="1" applyAlignment="1">
      <alignment horizontal="center"/>
    </xf>
    <xf numFmtId="0" fontId="32" fillId="0" borderId="1" xfId="3" applyFont="1" applyFill="1" applyBorder="1" applyAlignment="1">
      <alignment horizontal="left" wrapText="1"/>
    </xf>
    <xf numFmtId="165" fontId="32" fillId="13" borderId="1" xfId="3" applyNumberFormat="1" applyFont="1" applyFill="1" applyBorder="1"/>
    <xf numFmtId="8" fontId="32" fillId="13" borderId="1" xfId="3" applyNumberFormat="1" applyFont="1" applyFill="1" applyBorder="1"/>
    <xf numFmtId="0" fontId="31" fillId="0" borderId="1" xfId="3" quotePrefix="1" applyFont="1" applyFill="1" applyBorder="1" applyAlignment="1">
      <alignment horizontal="left" wrapText="1"/>
    </xf>
    <xf numFmtId="0" fontId="32" fillId="0" borderId="1" xfId="3" quotePrefix="1" applyFont="1" applyFill="1" applyBorder="1" applyAlignment="1">
      <alignment horizontal="center"/>
    </xf>
    <xf numFmtId="0" fontId="32" fillId="0" borderId="1" xfId="3" applyFont="1" applyFill="1" applyBorder="1" applyAlignment="1">
      <alignment horizontal="center"/>
    </xf>
    <xf numFmtId="0" fontId="15" fillId="0" borderId="1" xfId="3" applyFont="1" applyBorder="1" applyAlignment="1">
      <alignment wrapText="1"/>
    </xf>
    <xf numFmtId="0" fontId="15" fillId="0" borderId="1" xfId="3" applyFont="1" applyFill="1" applyBorder="1" applyAlignment="1">
      <alignment wrapText="1"/>
    </xf>
    <xf numFmtId="0" fontId="32" fillId="13" borderId="1" xfId="3" quotePrefix="1" applyFont="1" applyFill="1" applyBorder="1" applyAlignment="1">
      <alignment horizontal="center"/>
    </xf>
    <xf numFmtId="0" fontId="32" fillId="13" borderId="1" xfId="3" applyFont="1" applyFill="1" applyBorder="1" applyAlignment="1">
      <alignment horizontal="center"/>
    </xf>
    <xf numFmtId="43" fontId="32" fillId="13" borderId="1" xfId="1" applyNumberFormat="1" applyFont="1" applyFill="1" applyBorder="1"/>
    <xf numFmtId="0" fontId="31" fillId="0" borderId="1" xfId="3" applyFont="1" applyBorder="1" applyAlignment="1">
      <alignment wrapText="1"/>
    </xf>
    <xf numFmtId="43" fontId="32" fillId="0" borderId="1" xfId="1" applyNumberFormat="1" applyFont="1" applyFill="1" applyBorder="1"/>
    <xf numFmtId="8" fontId="32" fillId="0" borderId="1" xfId="1" applyNumberFormat="1" applyFont="1" applyFill="1" applyBorder="1"/>
    <xf numFmtId="9" fontId="32" fillId="0" borderId="1" xfId="3" quotePrefix="1" applyNumberFormat="1" applyFont="1" applyFill="1" applyBorder="1" applyAlignment="1">
      <alignment horizontal="center" wrapText="1"/>
    </xf>
    <xf numFmtId="172" fontId="32" fillId="0" borderId="1" xfId="9" applyNumberFormat="1" applyFont="1" applyFill="1" applyBorder="1" applyAlignment="1">
      <alignment horizontal="center"/>
    </xf>
    <xf numFmtId="0" fontId="31" fillId="0" borderId="1" xfId="3" applyFont="1" applyFill="1" applyBorder="1" applyAlignment="1">
      <alignment horizontal="center"/>
    </xf>
    <xf numFmtId="172" fontId="31" fillId="0" borderId="1" xfId="10" applyNumberFormat="1" applyFont="1" applyFill="1" applyBorder="1" applyAlignment="1">
      <alignment horizontal="center"/>
    </xf>
    <xf numFmtId="0" fontId="32" fillId="0" borderId="1" xfId="3" quotePrefix="1" applyFont="1" applyBorder="1" applyAlignment="1">
      <alignment horizontal="center" wrapText="1"/>
    </xf>
    <xf numFmtId="0" fontId="31" fillId="0" borderId="1" xfId="3" applyFont="1" applyBorder="1" applyAlignment="1">
      <alignment horizontal="center"/>
    </xf>
    <xf numFmtId="0" fontId="26" fillId="0" borderId="1" xfId="4" applyBorder="1" applyAlignment="1">
      <alignment horizontal="center"/>
    </xf>
    <xf numFmtId="172" fontId="35" fillId="0" borderId="1" xfId="10" applyNumberFormat="1" applyFont="1" applyFill="1" applyBorder="1" applyAlignment="1">
      <alignment horizontal="center"/>
    </xf>
    <xf numFmtId="0" fontId="8" fillId="0" borderId="1" xfId="3" applyFont="1" applyFill="1" applyBorder="1" applyAlignment="1">
      <alignment horizontal="center"/>
    </xf>
    <xf numFmtId="0" fontId="36" fillId="0" borderId="1" xfId="3" applyFont="1" applyFill="1" applyBorder="1" applyAlignment="1">
      <alignment horizontal="left" wrapText="1"/>
    </xf>
    <xf numFmtId="0" fontId="8" fillId="0" borderId="1" xfId="7" applyFont="1" applyFill="1" applyBorder="1" applyAlignment="1">
      <alignment horizontal="center"/>
    </xf>
    <xf numFmtId="170" fontId="31" fillId="0" borderId="1" xfId="10" applyNumberFormat="1" applyFont="1" applyFill="1" applyBorder="1" applyAlignment="1">
      <alignment horizontal="center"/>
    </xf>
    <xf numFmtId="8" fontId="32" fillId="0" borderId="1" xfId="3" quotePrefix="1" applyNumberFormat="1" applyFont="1" applyFill="1" applyBorder="1" applyAlignment="1">
      <alignment horizontal="center"/>
    </xf>
    <xf numFmtId="0" fontId="26" fillId="0" borderId="1" xfId="3" applyFont="1" applyBorder="1" applyAlignment="1">
      <alignment horizontal="center" vertical="center"/>
    </xf>
    <xf numFmtId="0" fontId="8" fillId="0" borderId="1" xfId="4" applyFont="1" applyFill="1" applyBorder="1" applyAlignment="1">
      <alignment horizontal="center" vertical="center"/>
    </xf>
    <xf numFmtId="0" fontId="31" fillId="0" borderId="1" xfId="4" applyFont="1" applyFill="1" applyBorder="1" applyAlignment="1">
      <alignment vertical="center"/>
    </xf>
    <xf numFmtId="0" fontId="31" fillId="0" borderId="1" xfId="3" applyFont="1" applyFill="1" applyBorder="1" applyAlignment="1">
      <alignment horizontal="center" vertical="center"/>
    </xf>
    <xf numFmtId="0" fontId="31" fillId="0" borderId="1" xfId="3" applyFont="1" applyBorder="1" applyAlignment="1">
      <alignment horizontal="center" vertical="center"/>
    </xf>
    <xf numFmtId="0" fontId="8" fillId="0" borderId="1" xfId="4" applyFont="1" applyFill="1" applyBorder="1" applyAlignment="1">
      <alignment horizontal="center"/>
    </xf>
    <xf numFmtId="0" fontId="31" fillId="0" borderId="1" xfId="4" applyFont="1" applyFill="1" applyBorder="1" applyAlignment="1">
      <alignment vertical="top"/>
    </xf>
    <xf numFmtId="0" fontId="31" fillId="0" borderId="1" xfId="4" quotePrefix="1" applyFont="1" applyFill="1" applyBorder="1" applyAlignment="1">
      <alignment horizontal="center"/>
    </xf>
    <xf numFmtId="0" fontId="31" fillId="0" borderId="1" xfId="3" applyFont="1" applyBorder="1"/>
    <xf numFmtId="0" fontId="31" fillId="0" borderId="1" xfId="4" applyFont="1" applyFill="1" applyBorder="1" applyAlignment="1">
      <alignment horizontal="left" vertical="center"/>
    </xf>
    <xf numFmtId="173" fontId="31" fillId="0" borderId="1" xfId="10" applyNumberFormat="1" applyFont="1" applyFill="1" applyBorder="1" applyAlignment="1">
      <alignment horizontal="center"/>
    </xf>
    <xf numFmtId="0" fontId="8" fillId="0" borderId="1" xfId="3" applyFont="1" applyFill="1" applyBorder="1" applyAlignment="1">
      <alignment horizontal="center" vertical="center"/>
    </xf>
    <xf numFmtId="0" fontId="31" fillId="0" borderId="1" xfId="3" applyFont="1" applyFill="1" applyBorder="1" applyAlignment="1">
      <alignment horizontal="left" vertical="center"/>
    </xf>
    <xf numFmtId="0" fontId="31" fillId="0" borderId="1" xfId="4" quotePrefix="1" applyFont="1" applyFill="1" applyBorder="1" applyAlignment="1">
      <alignment horizontal="center" vertical="center" wrapText="1"/>
    </xf>
    <xf numFmtId="0" fontId="8" fillId="0" borderId="1" xfId="7" applyFont="1" applyBorder="1" applyAlignment="1">
      <alignment horizontal="center"/>
    </xf>
    <xf numFmtId="0" fontId="36" fillId="0" borderId="1" xfId="3" applyFont="1" applyBorder="1" applyAlignment="1">
      <alignment wrapText="1"/>
    </xf>
    <xf numFmtId="0" fontId="37" fillId="0" borderId="1" xfId="4" quotePrefix="1" applyFont="1" applyFill="1" applyBorder="1" applyAlignment="1">
      <alignment horizontal="center" wrapText="1"/>
    </xf>
    <xf numFmtId="0" fontId="32" fillId="0" borderId="1" xfId="3" applyFont="1" applyBorder="1" applyAlignment="1">
      <alignment horizontal="center" wrapText="1"/>
    </xf>
    <xf numFmtId="0" fontId="31" fillId="0" borderId="1" xfId="3" quotePrefix="1" applyFont="1" applyFill="1" applyBorder="1" applyAlignment="1">
      <alignment horizontal="center"/>
    </xf>
    <xf numFmtId="0" fontId="31" fillId="0" borderId="1" xfId="7" applyFont="1" applyBorder="1" applyAlignment="1">
      <alignment wrapText="1"/>
    </xf>
    <xf numFmtId="0" fontId="38" fillId="0" borderId="1" xfId="3" applyFont="1" applyBorder="1" applyAlignment="1">
      <alignment horizontal="center"/>
    </xf>
    <xf numFmtId="173" fontId="32" fillId="0" borderId="1" xfId="4" applyNumberFormat="1" applyFont="1" applyBorder="1" applyAlignment="1">
      <alignment horizontal="center"/>
    </xf>
    <xf numFmtId="0" fontId="31" fillId="13" borderId="1" xfId="2" applyFont="1" applyFill="1" applyBorder="1" applyAlignment="1">
      <alignment horizontal="center"/>
    </xf>
    <xf numFmtId="0" fontId="31" fillId="0" borderId="1" xfId="7" applyFont="1" applyBorder="1" applyAlignment="1">
      <alignment horizontal="left" wrapText="1"/>
    </xf>
    <xf numFmtId="0" fontId="31" fillId="0" borderId="1" xfId="8" quotePrefix="1" applyFont="1" applyFill="1" applyBorder="1" applyAlignment="1">
      <alignment horizontal="center" wrapText="1"/>
    </xf>
    <xf numFmtId="0" fontId="31" fillId="0" borderId="1" xfId="3" applyFont="1" applyFill="1" applyBorder="1" applyAlignment="1">
      <alignment wrapText="1"/>
    </xf>
    <xf numFmtId="0" fontId="31" fillId="0" borderId="1" xfId="8" quotePrefix="1" applyFont="1" applyFill="1" applyBorder="1" applyAlignment="1">
      <alignment horizontal="center"/>
    </xf>
    <xf numFmtId="0" fontId="31" fillId="0" borderId="1" xfId="8" quotePrefix="1" applyFont="1" applyFill="1" applyBorder="1" applyAlignment="1">
      <alignment horizontal="center" vertical="center" wrapText="1"/>
    </xf>
    <xf numFmtId="0" fontId="31" fillId="0" borderId="1" xfId="8" quotePrefix="1" applyFont="1" applyBorder="1" applyAlignment="1">
      <alignment horizontal="center" wrapText="1"/>
    </xf>
    <xf numFmtId="0" fontId="31" fillId="0" borderId="1" xfId="3" quotePrefix="1" applyFont="1" applyFill="1" applyBorder="1" applyAlignment="1">
      <alignment horizontal="center" wrapText="1"/>
    </xf>
    <xf numFmtId="0" fontId="31" fillId="0" borderId="1" xfId="7" quotePrefix="1" applyFont="1" applyBorder="1" applyAlignment="1">
      <alignment horizontal="left" wrapText="1"/>
    </xf>
    <xf numFmtId="0" fontId="2" fillId="0" borderId="1" xfId="5" applyFont="1" applyFill="1" applyBorder="1" applyAlignment="1" applyProtection="1">
      <alignment horizontal="center"/>
      <protection locked="0"/>
    </xf>
    <xf numFmtId="0" fontId="27" fillId="0" borderId="16" xfId="4" applyFont="1" applyBorder="1" applyAlignment="1">
      <alignment horizontal="left"/>
    </xf>
    <xf numFmtId="0" fontId="27" fillId="0" borderId="17" xfId="4" applyFont="1" applyBorder="1" applyAlignment="1">
      <alignment horizontal="left"/>
    </xf>
    <xf numFmtId="0" fontId="27" fillId="0" borderId="18" xfId="4" applyFont="1" applyFill="1" applyBorder="1" applyAlignment="1">
      <alignment horizontal="left"/>
    </xf>
    <xf numFmtId="165" fontId="25" fillId="0" borderId="22" xfId="2" applyNumberFormat="1" applyFont="1" applyFill="1" applyBorder="1" applyAlignment="1">
      <alignment horizontal="center"/>
    </xf>
    <xf numFmtId="167" fontId="26" fillId="0" borderId="22" xfId="3" applyNumberFormat="1" applyFont="1" applyFill="1" applyBorder="1" applyAlignment="1">
      <alignment horizontal="center"/>
    </xf>
    <xf numFmtId="0" fontId="26" fillId="0" borderId="23" xfId="3" applyFont="1" applyFill="1" applyBorder="1" applyAlignment="1">
      <alignment horizontal="center"/>
    </xf>
    <xf numFmtId="168" fontId="39" fillId="0" borderId="22" xfId="3" applyNumberFormat="1" applyFont="1" applyFill="1" applyBorder="1" applyAlignment="1">
      <alignment horizontal="center"/>
    </xf>
    <xf numFmtId="168" fontId="39" fillId="0" borderId="24" xfId="3" applyNumberFormat="1" applyFont="1" applyFill="1" applyBorder="1" applyAlignment="1">
      <alignment horizontal="center"/>
    </xf>
    <xf numFmtId="173" fontId="26" fillId="0" borderId="1" xfId="3" applyNumberFormat="1" applyFont="1" applyFill="1" applyBorder="1" applyAlignment="1">
      <alignment horizontal="center" vertical="center"/>
    </xf>
    <xf numFmtId="0" fontId="26" fillId="0" borderId="0" xfId="3" applyFont="1" applyFill="1" applyBorder="1" applyAlignment="1">
      <alignment horizontal="center" vertical="center"/>
    </xf>
    <xf numFmtId="168" fontId="39" fillId="0" borderId="1" xfId="3" applyNumberFormat="1" applyFont="1" applyFill="1" applyBorder="1" applyAlignment="1">
      <alignment horizontal="center" vertical="center"/>
    </xf>
    <xf numFmtId="168" fontId="39" fillId="0" borderId="25" xfId="3" applyNumberFormat="1" applyFont="1" applyFill="1" applyBorder="1" applyAlignment="1">
      <alignment horizontal="center" vertical="center"/>
    </xf>
    <xf numFmtId="176" fontId="32" fillId="13" borderId="1" xfId="3" applyNumberFormat="1" applyFont="1" applyFill="1" applyBorder="1" applyAlignment="1">
      <alignment horizontal="right"/>
    </xf>
    <xf numFmtId="0" fontId="26" fillId="0" borderId="26" xfId="3" applyFont="1" applyBorder="1" applyAlignment="1">
      <alignment horizontal="center" vertical="center"/>
    </xf>
    <xf numFmtId="1" fontId="2" fillId="0" borderId="0" xfId="0" applyNumberFormat="1" applyFont="1" applyAlignment="1" applyProtection="1">
      <alignment horizontal="center"/>
      <protection locked="0"/>
    </xf>
    <xf numFmtId="0" fontId="6" fillId="0" borderId="0" xfId="0" applyFont="1" applyFill="1" applyBorder="1" applyAlignment="1" applyProtection="1">
      <alignment vertical="center"/>
    </xf>
    <xf numFmtId="0" fontId="2" fillId="0" borderId="0" xfId="0" applyFont="1" applyFill="1" applyProtection="1"/>
    <xf numFmtId="0" fontId="3" fillId="0" borderId="0" xfId="0" applyFont="1" applyFill="1" applyProtection="1"/>
    <xf numFmtId="0" fontId="4" fillId="0" borderId="0" xfId="0" applyFont="1" applyFill="1" applyProtection="1"/>
    <xf numFmtId="0" fontId="3" fillId="0" borderId="0" xfId="0" applyFont="1" applyFill="1" applyBorder="1" applyAlignment="1" applyProtection="1">
      <alignment vertical="top" wrapText="1"/>
    </xf>
    <xf numFmtId="0" fontId="6" fillId="0" borderId="0" xfId="4" applyFont="1" applyFill="1" applyBorder="1" applyAlignment="1" applyProtection="1">
      <alignment vertical="center"/>
    </xf>
    <xf numFmtId="0" fontId="2" fillId="0" borderId="0" xfId="5" applyFont="1" applyFill="1" applyProtection="1"/>
    <xf numFmtId="0" fontId="5" fillId="0" borderId="0" xfId="5" applyFont="1" applyFill="1" applyProtection="1"/>
    <xf numFmtId="0" fontId="3" fillId="0" borderId="0" xfId="5" applyFont="1" applyFill="1" applyProtection="1"/>
    <xf numFmtId="0" fontId="4" fillId="0" borderId="0" xfId="5" applyFont="1" applyFill="1" applyProtection="1"/>
    <xf numFmtId="0" fontId="7" fillId="0" borderId="0" xfId="0" applyFont="1" applyFill="1" applyBorder="1" applyAlignment="1" applyProtection="1">
      <alignment vertical="center"/>
    </xf>
    <xf numFmtId="0" fontId="32" fillId="12" borderId="1" xfId="3" quotePrefix="1" applyFont="1" applyFill="1" applyBorder="1" applyAlignment="1">
      <alignment horizontal="center" wrapText="1"/>
    </xf>
    <xf numFmtId="40" fontId="5" fillId="8" borderId="6" xfId="8" applyNumberFormat="1" applyFont="1" applyFill="1" applyBorder="1" applyProtection="1">
      <protection locked="0"/>
    </xf>
    <xf numFmtId="40" fontId="5" fillId="11" borderId="6" xfId="8" applyNumberFormat="1" applyFont="1" applyFill="1" applyBorder="1" applyProtection="1">
      <protection locked="0"/>
    </xf>
    <xf numFmtId="8" fontId="31" fillId="0" borderId="1" xfId="3" applyNumberFormat="1" applyFont="1" applyFill="1" applyBorder="1"/>
    <xf numFmtId="172" fontId="31" fillId="0" borderId="1" xfId="10" applyNumberFormat="1" applyFont="1" applyFill="1" applyBorder="1" applyAlignment="1">
      <alignment horizontal="center" vertical="center"/>
    </xf>
    <xf numFmtId="0" fontId="32" fillId="0" borderId="1" xfId="3" applyFont="1" applyBorder="1" applyAlignment="1">
      <alignment horizontal="center" vertical="center"/>
    </xf>
    <xf numFmtId="9" fontId="25" fillId="0" borderId="22" xfId="2" applyNumberFormat="1" applyFont="1" applyFill="1" applyBorder="1" applyAlignment="1">
      <alignment horizontal="center" vertical="center"/>
    </xf>
    <xf numFmtId="0" fontId="26" fillId="14" borderId="1" xfId="3" applyFont="1" applyFill="1" applyBorder="1" applyAlignment="1">
      <alignment horizontal="center"/>
    </xf>
    <xf numFmtId="0" fontId="36" fillId="0" borderId="32" xfId="3" applyFont="1" applyFill="1" applyBorder="1" applyAlignment="1">
      <alignment wrapText="1"/>
    </xf>
    <xf numFmtId="0" fontId="31" fillId="0" borderId="1" xfId="4" quotePrefix="1" applyFont="1" applyFill="1" applyBorder="1" applyAlignment="1">
      <alignment horizontal="center" wrapText="1"/>
    </xf>
    <xf numFmtId="172" fontId="25" fillId="14" borderId="1" xfId="2" applyNumberFormat="1" applyFont="1" applyFill="1" applyBorder="1"/>
    <xf numFmtId="0" fontId="8" fillId="14" borderId="1" xfId="6" applyFont="1" applyFill="1" applyBorder="1" applyAlignment="1">
      <alignment horizontal="center"/>
    </xf>
    <xf numFmtId="0" fontId="8" fillId="14" borderId="1" xfId="4" applyFont="1" applyFill="1" applyBorder="1" applyAlignment="1">
      <alignment horizontal="center"/>
    </xf>
    <xf numFmtId="0" fontId="8" fillId="14" borderId="1" xfId="7" applyFont="1" applyFill="1" applyBorder="1" applyAlignment="1">
      <alignment horizontal="center"/>
    </xf>
    <xf numFmtId="0" fontId="8" fillId="14" borderId="1" xfId="3" applyFont="1" applyFill="1" applyBorder="1" applyAlignment="1">
      <alignment horizontal="center"/>
    </xf>
    <xf numFmtId="0" fontId="32" fillId="0" borderId="32" xfId="3" quotePrefix="1" applyFont="1" applyFill="1" applyBorder="1" applyAlignment="1">
      <alignment horizontal="center" wrapText="1"/>
    </xf>
    <xf numFmtId="0" fontId="26" fillId="0" borderId="19" xfId="4" applyFont="1" applyBorder="1"/>
    <xf numFmtId="0" fontId="26" fillId="0" borderId="19" xfId="4" applyFont="1" applyFill="1" applyBorder="1"/>
    <xf numFmtId="9" fontId="25" fillId="0" borderId="22" xfId="2" applyNumberFormat="1" applyFont="1" applyFill="1" applyBorder="1" applyAlignment="1">
      <alignment horizontal="center"/>
    </xf>
    <xf numFmtId="0" fontId="41" fillId="0" borderId="19" xfId="4" applyFont="1" applyFill="1" applyBorder="1"/>
    <xf numFmtId="0" fontId="41" fillId="14" borderId="19" xfId="4" applyFont="1" applyFill="1" applyBorder="1"/>
    <xf numFmtId="0" fontId="46" fillId="0" borderId="19" xfId="4" applyFont="1" applyFill="1" applyBorder="1"/>
    <xf numFmtId="0" fontId="46" fillId="14" borderId="19" xfId="4" applyFont="1" applyFill="1" applyBorder="1"/>
    <xf numFmtId="0" fontId="48" fillId="0" borderId="19" xfId="4" applyFont="1" applyFill="1" applyBorder="1"/>
    <xf numFmtId="14" fontId="25" fillId="0" borderId="22" xfId="2" applyNumberFormat="1" applyFont="1" applyFill="1" applyBorder="1" applyAlignment="1">
      <alignment horizontal="center"/>
    </xf>
    <xf numFmtId="0" fontId="48" fillId="14" borderId="19" xfId="4" applyFont="1" applyFill="1" applyBorder="1"/>
    <xf numFmtId="164" fontId="25" fillId="14" borderId="1" xfId="2" applyNumberFormat="1" applyFont="1" applyFill="1" applyBorder="1"/>
    <xf numFmtId="0" fontId="26" fillId="14" borderId="19" xfId="4" applyFont="1" applyFill="1" applyBorder="1"/>
    <xf numFmtId="0" fontId="46" fillId="0" borderId="20" xfId="4" applyFont="1" applyFill="1" applyBorder="1"/>
    <xf numFmtId="9" fontId="25" fillId="0" borderId="0" xfId="2" applyNumberFormat="1" applyFont="1" applyFill="1" applyBorder="1"/>
    <xf numFmtId="9" fontId="25" fillId="0" borderId="23" xfId="2" applyNumberFormat="1" applyFont="1" applyFill="1" applyBorder="1" applyAlignment="1">
      <alignment horizontal="center"/>
    </xf>
    <xf numFmtId="166" fontId="25" fillId="0" borderId="22" xfId="2" applyNumberFormat="1" applyFont="1" applyFill="1" applyBorder="1" applyAlignment="1">
      <alignment horizontal="center"/>
    </xf>
    <xf numFmtId="0" fontId="26" fillId="0" borderId="19" xfId="4" applyFont="1" applyFill="1" applyBorder="1" applyAlignment="1">
      <alignment horizontal="left"/>
    </xf>
    <xf numFmtId="0" fontId="52" fillId="0" borderId="19" xfId="3" applyFont="1" applyBorder="1" applyAlignment="1">
      <alignment vertical="center" wrapText="1"/>
    </xf>
    <xf numFmtId="0" fontId="52" fillId="0" borderId="19" xfId="3" applyFont="1" applyBorder="1" applyAlignment="1">
      <alignment wrapText="1"/>
    </xf>
    <xf numFmtId="0" fontId="52" fillId="0" borderId="20" xfId="3" applyFont="1" applyBorder="1" applyAlignment="1">
      <alignment vertical="center" wrapText="1"/>
    </xf>
    <xf numFmtId="0" fontId="52" fillId="0" borderId="21" xfId="3" applyFont="1" applyBorder="1" applyAlignment="1">
      <alignment vertical="center" wrapText="1"/>
    </xf>
    <xf numFmtId="0" fontId="31" fillId="0" borderId="1" xfId="3" quotePrefix="1" applyFont="1" applyFill="1" applyBorder="1" applyAlignment="1">
      <alignment horizontal="center" wrapText="1"/>
    </xf>
    <xf numFmtId="0" fontId="6" fillId="0" borderId="0" xfId="4" applyFont="1" applyFill="1" applyAlignment="1" applyProtection="1">
      <alignment horizontal="left" vertical="center"/>
    </xf>
    <xf numFmtId="0" fontId="11" fillId="0" borderId="0" xfId="0" applyFont="1" applyFill="1" applyAlignment="1" applyProtection="1">
      <alignment vertical="center"/>
    </xf>
    <xf numFmtId="0" fontId="11" fillId="0" borderId="0" xfId="0" applyFont="1" applyFill="1" applyAlignment="1" applyProtection="1">
      <alignment horizontal="left" vertical="center"/>
    </xf>
    <xf numFmtId="0" fontId="31" fillId="0" borderId="1" xfId="4" applyFont="1" applyFill="1" applyBorder="1" applyAlignment="1">
      <alignment horizontal="left"/>
    </xf>
    <xf numFmtId="40" fontId="31" fillId="0" borderId="15" xfId="3" applyNumberFormat="1" applyFont="1" applyFill="1" applyBorder="1" applyAlignment="1">
      <alignment horizontal="right"/>
    </xf>
    <xf numFmtId="40" fontId="2" fillId="10" borderId="6" xfId="5" applyNumberFormat="1" applyFont="1" applyFill="1" applyBorder="1" applyAlignment="1">
      <alignment horizontal="right"/>
    </xf>
    <xf numFmtId="170" fontId="25" fillId="14" borderId="1" xfId="2" applyNumberFormat="1" applyFont="1" applyFill="1" applyBorder="1"/>
    <xf numFmtId="4" fontId="2" fillId="15" borderId="6" xfId="8" applyNumberFormat="1" applyFont="1" applyFill="1" applyBorder="1" applyProtection="1">
      <protection locked="0"/>
    </xf>
    <xf numFmtId="1" fontId="2" fillId="13" borderId="5" xfId="8" applyNumberFormat="1" applyFont="1" applyFill="1" applyBorder="1" applyAlignment="1" applyProtection="1">
      <alignment horizontal="center"/>
      <protection locked="0"/>
    </xf>
    <xf numFmtId="0" fontId="18" fillId="15" borderId="0" xfId="5" applyFont="1" applyFill="1" applyProtection="1"/>
    <xf numFmtId="0" fontId="0" fillId="0" borderId="0" xfId="0" quotePrefix="1" applyAlignment="1">
      <alignment wrapText="1"/>
    </xf>
    <xf numFmtId="0" fontId="32" fillId="0" borderId="1" xfId="3" applyFont="1" applyBorder="1" applyAlignment="1">
      <alignment horizontal="center" vertical="center"/>
    </xf>
    <xf numFmtId="177" fontId="2" fillId="0" borderId="0" xfId="0" applyNumberFormat="1" applyFont="1" applyAlignment="1" applyProtection="1">
      <protection locked="0"/>
    </xf>
    <xf numFmtId="40" fontId="2" fillId="0" borderId="0" xfId="0" applyNumberFormat="1" applyFont="1" applyAlignment="1" applyProtection="1">
      <alignment horizontal="center"/>
      <protection locked="0"/>
    </xf>
    <xf numFmtId="172" fontId="35" fillId="0" borderId="3" xfId="3" applyNumberFormat="1" applyFont="1" applyFill="1" applyBorder="1" applyAlignment="1">
      <alignment horizontal="center"/>
    </xf>
    <xf numFmtId="178" fontId="31" fillId="13" borderId="3" xfId="3" applyNumberFormat="1" applyFont="1" applyFill="1" applyBorder="1" applyAlignment="1">
      <alignment horizontal="center"/>
    </xf>
    <xf numFmtId="0" fontId="27" fillId="9" borderId="4" xfId="3" applyFont="1" applyFill="1" applyBorder="1" applyAlignment="1">
      <alignment horizontal="center" vertical="center"/>
    </xf>
    <xf numFmtId="0" fontId="15" fillId="0" borderId="30" xfId="3" applyFont="1" applyBorder="1" applyAlignment="1">
      <alignment horizontal="left" wrapText="1"/>
    </xf>
    <xf numFmtId="0" fontId="31" fillId="0" borderId="1" xfId="3" quotePrefix="1" applyFont="1" applyFill="1" applyBorder="1" applyAlignment="1">
      <alignment horizontal="center" wrapText="1"/>
    </xf>
    <xf numFmtId="0" fontId="55" fillId="0" borderId="0" xfId="0" applyFont="1" applyFill="1"/>
    <xf numFmtId="0" fontId="15" fillId="0" borderId="29" xfId="3" applyFont="1" applyBorder="1" applyAlignment="1">
      <alignment horizontal="left"/>
    </xf>
    <xf numFmtId="0" fontId="1" fillId="0" borderId="0" xfId="0" quotePrefix="1" applyFont="1" applyFill="1"/>
    <xf numFmtId="0" fontId="1" fillId="0" borderId="0" xfId="0" applyFont="1" applyFill="1"/>
    <xf numFmtId="43" fontId="32" fillId="12" borderId="1" xfId="1" applyNumberFormat="1" applyFont="1" applyFill="1" applyBorder="1"/>
    <xf numFmtId="0" fontId="33" fillId="12" borderId="1" xfId="2" applyFont="1" applyFill="1" applyBorder="1" applyAlignment="1">
      <alignment horizontal="center"/>
    </xf>
    <xf numFmtId="0" fontId="33" fillId="12" borderId="1" xfId="2" applyFont="1" applyFill="1" applyBorder="1" applyAlignment="1">
      <alignment horizontal="center" wrapText="1"/>
    </xf>
    <xf numFmtId="0" fontId="26" fillId="14" borderId="19" xfId="4" applyFont="1" applyFill="1" applyBorder="1" applyAlignment="1">
      <alignment wrapText="1"/>
    </xf>
    <xf numFmtId="0" fontId="5" fillId="0" borderId="6" xfId="5" quotePrefix="1" applyFont="1" applyFill="1" applyBorder="1" applyAlignment="1">
      <alignment horizontal="center"/>
    </xf>
    <xf numFmtId="0" fontId="2" fillId="0" borderId="6" xfId="5" quotePrefix="1" applyFont="1" applyFill="1" applyBorder="1" applyAlignment="1">
      <alignment horizontal="center"/>
    </xf>
    <xf numFmtId="0" fontId="34" fillId="12" borderId="0" xfId="3" applyFont="1" applyFill="1" applyBorder="1" applyAlignment="1">
      <alignment horizontal="left"/>
    </xf>
    <xf numFmtId="0" fontId="11" fillId="0" borderId="36" xfId="5" applyFont="1" applyBorder="1" applyProtection="1">
      <protection locked="0"/>
    </xf>
    <xf numFmtId="0" fontId="11" fillId="0" borderId="37" xfId="5" applyFont="1" applyBorder="1" applyProtection="1">
      <protection locked="0"/>
    </xf>
    <xf numFmtId="0" fontId="2" fillId="0" borderId="37" xfId="5" applyFont="1" applyBorder="1" applyProtection="1">
      <protection locked="0"/>
    </xf>
    <xf numFmtId="2" fontId="2" fillId="0" borderId="38" xfId="5" applyNumberFormat="1" applyFont="1" applyBorder="1" applyAlignment="1" applyProtection="1">
      <alignment horizontal="right"/>
      <protection locked="0"/>
    </xf>
    <xf numFmtId="0" fontId="2" fillId="0" borderId="20" xfId="5" applyFont="1" applyBorder="1" applyProtection="1">
      <protection locked="0"/>
    </xf>
    <xf numFmtId="0" fontId="2" fillId="0" borderId="23" xfId="5" applyFont="1" applyBorder="1" applyAlignment="1" applyProtection="1">
      <alignment horizontal="right"/>
      <protection locked="0"/>
    </xf>
    <xf numFmtId="0" fontId="33" fillId="12" borderId="23" xfId="2" applyFont="1" applyFill="1" applyBorder="1" applyAlignment="1">
      <alignment horizontal="center"/>
    </xf>
    <xf numFmtId="0" fontId="34" fillId="12" borderId="20" xfId="3" applyFont="1" applyFill="1" applyBorder="1" applyAlignment="1">
      <alignment horizontal="left"/>
    </xf>
    <xf numFmtId="0" fontId="34" fillId="14" borderId="40" xfId="3" applyFont="1" applyFill="1" applyBorder="1" applyAlignment="1">
      <alignment horizontal="left"/>
    </xf>
    <xf numFmtId="0" fontId="34" fillId="14" borderId="41" xfId="3" applyFont="1" applyFill="1" applyBorder="1" applyAlignment="1">
      <alignment horizontal="left"/>
    </xf>
    <xf numFmtId="0" fontId="34" fillId="14" borderId="42" xfId="3" applyFont="1" applyFill="1" applyBorder="1" applyAlignment="1">
      <alignment horizontal="left"/>
    </xf>
    <xf numFmtId="0" fontId="34" fillId="14" borderId="39" xfId="3" applyFont="1" applyFill="1" applyBorder="1" applyAlignment="1">
      <alignment horizontal="left"/>
    </xf>
    <xf numFmtId="172" fontId="25" fillId="0" borderId="1" xfId="2" applyNumberFormat="1" applyFont="1" applyFill="1" applyBorder="1"/>
    <xf numFmtId="170" fontId="25" fillId="0" borderId="1" xfId="2" applyNumberFormat="1" applyFont="1" applyFill="1" applyBorder="1"/>
    <xf numFmtId="164" fontId="25" fillId="0" borderId="1" xfId="2" applyNumberFormat="1" applyFont="1" applyFill="1" applyBorder="1"/>
    <xf numFmtId="0" fontId="5" fillId="0" borderId="1" xfId="5" quotePrefix="1" applyFont="1" applyFill="1" applyBorder="1" applyAlignment="1">
      <alignment horizontal="center"/>
    </xf>
    <xf numFmtId="0" fontId="2" fillId="0" borderId="1" xfId="5" quotePrefix="1" applyFont="1" applyFill="1" applyBorder="1" applyAlignment="1">
      <alignment horizontal="center"/>
    </xf>
    <xf numFmtId="0" fontId="10" fillId="0" borderId="15" xfId="0" applyFont="1" applyBorder="1" applyAlignment="1">
      <alignment horizontal="center"/>
    </xf>
    <xf numFmtId="0" fontId="28" fillId="6" borderId="1" xfId="0" applyFont="1" applyFill="1" applyBorder="1" applyAlignment="1">
      <alignment horizontal="center" vertical="center" wrapText="1"/>
    </xf>
    <xf numFmtId="0" fontId="2" fillId="7" borderId="0" xfId="0" applyFont="1" applyFill="1" applyAlignment="1" applyProtection="1">
      <alignment horizontal="center"/>
    </xf>
    <xf numFmtId="164" fontId="2" fillId="7" borderId="0" xfId="0" applyNumberFormat="1" applyFont="1" applyFill="1" applyAlignment="1" applyProtection="1">
      <alignment horizontal="center"/>
    </xf>
    <xf numFmtId="0" fontId="2" fillId="7" borderId="0" xfId="0" applyFont="1" applyFill="1" applyAlignment="1" applyProtection="1">
      <alignment horizontal="center"/>
      <protection locked="0"/>
    </xf>
    <xf numFmtId="0" fontId="2" fillId="7" borderId="0" xfId="8" applyNumberFormat="1" applyFont="1" applyFill="1" applyBorder="1" applyAlignment="1" applyProtection="1">
      <alignment horizontal="center"/>
      <protection locked="0"/>
    </xf>
    <xf numFmtId="164" fontId="2" fillId="7" borderId="0" xfId="8" applyNumberFormat="1" applyFont="1" applyFill="1" applyBorder="1" applyAlignment="1" applyProtection="1">
      <alignment horizontal="center"/>
      <protection locked="0"/>
    </xf>
    <xf numFmtId="0" fontId="2" fillId="7" borderId="0" xfId="4" applyFont="1" applyFill="1" applyAlignment="1" applyProtection="1">
      <alignment horizontal="center"/>
    </xf>
    <xf numFmtId="0" fontId="26" fillId="7" borderId="0" xfId="4" applyFill="1"/>
    <xf numFmtId="0" fontId="4" fillId="7" borderId="0" xfId="4" applyFont="1" applyFill="1" applyAlignment="1" applyProtection="1">
      <alignment horizontal="center"/>
    </xf>
    <xf numFmtId="164" fontId="2" fillId="7" borderId="0" xfId="0" applyNumberFormat="1" applyFont="1" applyFill="1" applyAlignment="1" applyProtection="1">
      <alignment horizontal="center"/>
      <protection locked="0"/>
    </xf>
    <xf numFmtId="0" fontId="2" fillId="7" borderId="0" xfId="4" applyFont="1" applyFill="1" applyAlignment="1" applyProtection="1">
      <alignment horizontal="center"/>
      <protection locked="0"/>
    </xf>
    <xf numFmtId="0" fontId="2" fillId="7" borderId="0" xfId="4" quotePrefix="1" applyFont="1" applyFill="1" applyAlignment="1" applyProtection="1">
      <alignment horizontal="center"/>
      <protection locked="0"/>
    </xf>
    <xf numFmtId="164" fontId="2" fillId="7" borderId="0" xfId="4" applyNumberFormat="1" applyFont="1" applyFill="1" applyAlignment="1" applyProtection="1">
      <alignment horizontal="center"/>
      <protection locked="0"/>
    </xf>
    <xf numFmtId="14" fontId="2" fillId="7" borderId="0" xfId="4" applyNumberFormat="1" applyFont="1" applyFill="1" applyAlignment="1" applyProtection="1">
      <alignment horizontal="center"/>
      <protection locked="0"/>
    </xf>
    <xf numFmtId="0" fontId="2" fillId="0" borderId="6" xfId="6" quotePrefix="1" applyFont="1" applyFill="1" applyBorder="1" applyAlignment="1">
      <alignment horizontal="center"/>
    </xf>
    <xf numFmtId="0" fontId="2" fillId="0" borderId="6" xfId="6" applyFont="1" applyFill="1" applyBorder="1" applyAlignment="1">
      <alignment horizontal="center"/>
    </xf>
    <xf numFmtId="0" fontId="5" fillId="0" borderId="6" xfId="6" quotePrefix="1" applyFont="1" applyFill="1" applyBorder="1" applyAlignment="1">
      <alignment horizontal="center"/>
    </xf>
    <xf numFmtId="49" fontId="5" fillId="8" borderId="6" xfId="8" quotePrefix="1" applyNumberFormat="1" applyFont="1" applyFill="1" applyBorder="1" applyProtection="1">
      <protection locked="0"/>
    </xf>
    <xf numFmtId="4" fontId="5" fillId="0" borderId="6" xfId="8" applyNumberFormat="1" applyFont="1" applyFill="1" applyBorder="1" applyProtection="1">
      <protection locked="0"/>
    </xf>
    <xf numFmtId="49" fontId="5" fillId="0" borderId="6" xfId="8" applyNumberFormat="1" applyFont="1" applyFill="1" applyBorder="1" applyProtection="1">
      <protection locked="0"/>
    </xf>
    <xf numFmtId="49" fontId="5" fillId="10" borderId="6" xfId="5" quotePrefix="1" applyNumberFormat="1" applyFont="1" applyFill="1" applyBorder="1" applyAlignment="1"/>
    <xf numFmtId="49" fontId="5" fillId="11" borderId="6" xfId="8" quotePrefix="1" applyNumberFormat="1" applyFont="1" applyFill="1" applyBorder="1" applyProtection="1">
      <protection locked="0"/>
    </xf>
    <xf numFmtId="49" fontId="5" fillId="8" borderId="6" xfId="8" applyNumberFormat="1" applyFont="1" applyFill="1" applyBorder="1" applyProtection="1">
      <protection locked="0"/>
    </xf>
    <xf numFmtId="49" fontId="5" fillId="10" borderId="6" xfId="8" quotePrefix="1" applyNumberFormat="1" applyFont="1" applyFill="1" applyBorder="1" applyProtection="1">
      <protection locked="0"/>
    </xf>
    <xf numFmtId="0" fontId="15" fillId="0" borderId="1" xfId="3" applyFont="1" applyFill="1" applyBorder="1" applyAlignment="1">
      <alignment horizontal="left"/>
    </xf>
    <xf numFmtId="10" fontId="31" fillId="0" borderId="30" xfId="7" quotePrefix="1" applyNumberFormat="1" applyFont="1" applyBorder="1" applyAlignment="1">
      <alignment horizontal="center" vertical="center" wrapText="1"/>
    </xf>
    <xf numFmtId="10" fontId="31" fillId="0" borderId="30" xfId="7" quotePrefix="1" applyNumberFormat="1" applyFont="1" applyFill="1" applyBorder="1" applyAlignment="1">
      <alignment horizontal="center" vertical="center" wrapText="1"/>
    </xf>
    <xf numFmtId="0" fontId="57" fillId="0" borderId="0" xfId="11" applyFont="1"/>
    <xf numFmtId="0" fontId="18" fillId="0" borderId="0" xfId="0" applyFont="1"/>
    <xf numFmtId="0" fontId="59" fillId="0" borderId="0" xfId="11" applyFont="1"/>
    <xf numFmtId="0" fontId="60" fillId="0" borderId="0" xfId="0" quotePrefix="1" applyFont="1" applyAlignment="1">
      <alignment horizontal="left" wrapText="1"/>
    </xf>
    <xf numFmtId="0" fontId="60" fillId="0" borderId="0" xfId="0" applyFont="1" applyAlignment="1">
      <alignment wrapText="1"/>
    </xf>
    <xf numFmtId="0" fontId="60" fillId="0" borderId="0" xfId="0" applyFont="1"/>
    <xf numFmtId="0" fontId="58" fillId="0" borderId="0" xfId="0" applyFont="1" applyAlignment="1">
      <alignment horizontal="center" vertical="center"/>
    </xf>
    <xf numFmtId="0" fontId="40" fillId="0" borderId="0" xfId="4" applyFont="1" applyAlignment="1">
      <alignment horizontal="center" wrapText="1"/>
    </xf>
    <xf numFmtId="0" fontId="27" fillId="9" borderId="28" xfId="3" applyFont="1" applyFill="1" applyBorder="1" applyAlignment="1">
      <alignment horizontal="center" wrapText="1"/>
    </xf>
    <xf numFmtId="0" fontId="26" fillId="0" borderId="2" xfId="4" applyBorder="1" applyAlignment="1">
      <alignment horizontal="center" wrapText="1"/>
    </xf>
    <xf numFmtId="0" fontId="30" fillId="9" borderId="28" xfId="3" applyFont="1" applyFill="1" applyBorder="1" applyAlignment="1">
      <alignment horizontal="center" vertical="center" wrapText="1"/>
    </xf>
    <xf numFmtId="0" fontId="30" fillId="9" borderId="2" xfId="3" applyFont="1" applyFill="1" applyBorder="1" applyAlignment="1">
      <alignment horizontal="center" vertical="center" wrapText="1"/>
    </xf>
    <xf numFmtId="0" fontId="27" fillId="9" borderId="28" xfId="3" applyFont="1" applyFill="1" applyBorder="1" applyAlignment="1">
      <alignment horizontal="center"/>
    </xf>
    <xf numFmtId="0" fontId="27" fillId="9" borderId="2" xfId="3" applyFont="1" applyFill="1" applyBorder="1" applyAlignment="1">
      <alignment horizontal="center"/>
    </xf>
    <xf numFmtId="9" fontId="25" fillId="0" borderId="22" xfId="2" applyNumberFormat="1" applyFont="1" applyFill="1" applyBorder="1" applyAlignment="1">
      <alignment horizontal="center" vertical="center"/>
    </xf>
    <xf numFmtId="0" fontId="27" fillId="9" borderId="2" xfId="3" applyFont="1" applyFill="1" applyBorder="1" applyAlignment="1">
      <alignment horizontal="center" wrapText="1"/>
    </xf>
    <xf numFmtId="0" fontId="26" fillId="0" borderId="26" xfId="3" applyFont="1" applyBorder="1" applyAlignment="1">
      <alignment horizontal="center" vertical="center"/>
    </xf>
    <xf numFmtId="0" fontId="26" fillId="0" borderId="5" xfId="3" applyFont="1" applyBorder="1" applyAlignment="1">
      <alignment horizontal="center" vertical="center"/>
    </xf>
    <xf numFmtId="0" fontId="26" fillId="0" borderId="1" xfId="3" applyFont="1" applyBorder="1" applyAlignment="1">
      <alignment horizontal="center" vertical="center"/>
    </xf>
    <xf numFmtId="165" fontId="25" fillId="0" borderId="22" xfId="2" applyNumberFormat="1" applyFont="1" applyFill="1" applyBorder="1" applyAlignment="1">
      <alignment horizontal="center" vertical="center"/>
    </xf>
    <xf numFmtId="10" fontId="25" fillId="0" borderId="22" xfId="2" applyNumberFormat="1" applyFont="1" applyFill="1" applyBorder="1" applyAlignment="1">
      <alignment horizontal="center" vertical="center"/>
    </xf>
    <xf numFmtId="0" fontId="31" fillId="0" borderId="1" xfId="3" quotePrefix="1" applyFont="1" applyFill="1" applyBorder="1" applyAlignment="1">
      <alignment horizontal="center" wrapText="1"/>
    </xf>
    <xf numFmtId="166" fontId="25" fillId="0" borderId="33" xfId="2" applyNumberFormat="1" applyFont="1" applyFill="1" applyBorder="1" applyAlignment="1">
      <alignment horizontal="center" vertical="center"/>
    </xf>
    <xf numFmtId="166" fontId="25" fillId="0" borderId="34" xfId="2" applyNumberFormat="1" applyFont="1" applyFill="1" applyBorder="1" applyAlignment="1">
      <alignment horizontal="center" vertical="center"/>
    </xf>
    <xf numFmtId="166" fontId="25" fillId="0" borderId="35" xfId="2" applyNumberFormat="1" applyFont="1" applyFill="1" applyBorder="1" applyAlignment="1">
      <alignment horizontal="center" vertical="center"/>
    </xf>
    <xf numFmtId="9" fontId="25" fillId="0" borderId="33" xfId="2" applyNumberFormat="1" applyFont="1" applyFill="1" applyBorder="1" applyAlignment="1">
      <alignment horizontal="center" vertical="center"/>
    </xf>
    <xf numFmtId="9" fontId="25" fillId="0" borderId="34" xfId="2" applyNumberFormat="1" applyFont="1" applyFill="1" applyBorder="1" applyAlignment="1">
      <alignment horizontal="center" vertical="center"/>
    </xf>
    <xf numFmtId="9" fontId="25" fillId="0" borderId="35" xfId="2" applyNumberFormat="1" applyFont="1" applyFill="1" applyBorder="1" applyAlignment="1">
      <alignment horizontal="center" vertical="center"/>
    </xf>
    <xf numFmtId="0" fontId="32" fillId="0" borderId="1" xfId="3" applyFont="1" applyFill="1" applyBorder="1" applyAlignment="1">
      <alignment horizontal="center" vertical="center"/>
    </xf>
    <xf numFmtId="10" fontId="31" fillId="0" borderId="29" xfId="7" quotePrefix="1" applyNumberFormat="1" applyFont="1" applyBorder="1" applyAlignment="1">
      <alignment horizontal="center" vertical="center" wrapText="1"/>
    </xf>
    <xf numFmtId="10" fontId="31" fillId="0" borderId="27" xfId="7" quotePrefix="1" applyNumberFormat="1" applyFont="1" applyBorder="1" applyAlignment="1">
      <alignment horizontal="center" vertical="center" wrapText="1"/>
    </xf>
    <xf numFmtId="10" fontId="31" fillId="0" borderId="30" xfId="7" quotePrefix="1" applyNumberFormat="1" applyFont="1" applyBorder="1" applyAlignment="1">
      <alignment horizontal="center" vertical="center" wrapText="1"/>
    </xf>
    <xf numFmtId="172" fontId="31" fillId="0" borderId="1" xfId="7" applyNumberFormat="1" applyFont="1" applyFill="1" applyBorder="1" applyAlignment="1">
      <alignment horizontal="center" vertical="center"/>
    </xf>
    <xf numFmtId="0" fontId="32" fillId="0" borderId="1" xfId="3" applyFont="1" applyBorder="1" applyAlignment="1">
      <alignment horizontal="center" vertical="center"/>
    </xf>
    <xf numFmtId="172" fontId="31" fillId="0" borderId="1" xfId="7" applyNumberFormat="1" applyFont="1" applyBorder="1" applyAlignment="1">
      <alignment horizontal="center" vertical="center"/>
    </xf>
    <xf numFmtId="0" fontId="31" fillId="0" borderId="1" xfId="3" applyFont="1" applyFill="1" applyBorder="1" applyAlignment="1">
      <alignment horizontal="center" vertical="center"/>
    </xf>
    <xf numFmtId="176" fontId="26" fillId="0" borderId="26" xfId="3" quotePrefix="1" applyNumberFormat="1" applyFont="1" applyFill="1" applyBorder="1" applyAlignment="1">
      <alignment horizontal="center" vertical="center"/>
    </xf>
    <xf numFmtId="176" fontId="26" fillId="0" borderId="5" xfId="3" applyNumberFormat="1" applyFont="1" applyFill="1" applyBorder="1" applyAlignment="1">
      <alignment horizontal="center" vertical="center"/>
    </xf>
    <xf numFmtId="10" fontId="31" fillId="0" borderId="29" xfId="7" quotePrefix="1" applyNumberFormat="1" applyFont="1" applyFill="1" applyBorder="1" applyAlignment="1">
      <alignment horizontal="center" vertical="center" wrapText="1"/>
    </xf>
    <xf numFmtId="10" fontId="31" fillId="0" borderId="27" xfId="7" quotePrefix="1" applyNumberFormat="1" applyFont="1" applyFill="1" applyBorder="1" applyAlignment="1">
      <alignment horizontal="center" vertical="center" wrapText="1"/>
    </xf>
    <xf numFmtId="10" fontId="31" fillId="0" borderId="30" xfId="7" quotePrefix="1" applyNumberFormat="1" applyFont="1" applyFill="1" applyBorder="1" applyAlignment="1">
      <alignment horizontal="center" vertical="center" wrapText="1"/>
    </xf>
    <xf numFmtId="0" fontId="32" fillId="0" borderId="29" xfId="3" applyFont="1" applyBorder="1" applyAlignment="1">
      <alignment horizontal="left" wrapText="1"/>
    </xf>
    <xf numFmtId="0" fontId="32" fillId="0" borderId="30" xfId="3" applyFont="1" applyBorder="1" applyAlignment="1">
      <alignment horizontal="left" wrapText="1"/>
    </xf>
    <xf numFmtId="0" fontId="32" fillId="0" borderId="26" xfId="3" applyFont="1" applyBorder="1" applyAlignment="1">
      <alignment horizontal="center" vertical="center" wrapText="1"/>
    </xf>
    <xf numFmtId="0" fontId="32" fillId="0" borderId="5" xfId="3" applyFont="1" applyBorder="1" applyAlignment="1">
      <alignment horizontal="center" vertical="center" wrapText="1"/>
    </xf>
  </cellXfs>
  <cellStyles count="12">
    <cellStyle name="Comma 2" xfId="1"/>
    <cellStyle name="Hyperlink" xfId="11" builtinId="8"/>
    <cellStyle name="Input" xfId="2" builtinId="20"/>
    <cellStyle name="Normal" xfId="0" builtinId="0"/>
    <cellStyle name="Normal 2 2" xfId="3"/>
    <cellStyle name="Normal 3" xfId="4"/>
    <cellStyle name="Normal 3 2" xfId="5"/>
    <cellStyle name="Normal_E-13OIL1" xfId="6"/>
    <cellStyle name="Normal_npsl_vv_report_test-nlj1" xfId="7"/>
    <cellStyle name="Normal_prudoor14" xfId="8"/>
    <cellStyle name="Percent" xfId="9" builtinId="5"/>
    <cellStyle name="Percent 2" xfId="10"/>
  </cellStyles>
  <dxfs count="7">
    <dxf>
      <font>
        <b/>
        <i val="0"/>
        <strike val="0"/>
        <condense val="0"/>
        <extend val="0"/>
      </font>
    </dxf>
    <dxf>
      <font>
        <b/>
        <i val="0"/>
        <strike val="0"/>
        <condense val="0"/>
        <extend val="0"/>
      </font>
    </dxf>
    <dxf>
      <font>
        <b/>
        <i val="0"/>
        <strike val="0"/>
        <condense val="0"/>
        <extend val="0"/>
      </font>
    </dxf>
    <dxf>
      <font>
        <b/>
        <i val="0"/>
        <strike val="0"/>
        <condense val="0"/>
        <extend val="0"/>
      </font>
    </dxf>
    <dxf>
      <font>
        <b/>
        <i val="0"/>
        <strike val="0"/>
        <condense val="0"/>
        <extend val="0"/>
      </font>
    </dxf>
    <dxf>
      <font>
        <b/>
        <i val="0"/>
        <strike val="0"/>
        <condense val="0"/>
        <extend val="0"/>
      </font>
    </dxf>
    <dxf>
      <font>
        <b/>
        <i val="0"/>
        <strike val="0"/>
        <condense val="0"/>
        <extend val="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og.dnr.alaska.gov/AboutUs/PublicNotices.htm" TargetMode="External"/><Relationship Id="rId1" Type="http://schemas.openxmlformats.org/officeDocument/2006/relationships/hyperlink" Target="http://dog.dnr.alaska.gov/Royalty/ReportingInstruction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showGridLines="0" tabSelected="1" zoomScaleNormal="100" workbookViewId="0">
      <selection activeCell="A15" sqref="A15"/>
    </sheetView>
  </sheetViews>
  <sheetFormatPr defaultRowHeight="12.75" x14ac:dyDescent="0.2"/>
  <cols>
    <col min="1" max="1" width="124.140625" customWidth="1"/>
  </cols>
  <sheetData>
    <row r="1" spans="1:7" ht="41.25" customHeight="1" x14ac:dyDescent="0.2">
      <c r="A1" s="376" t="s">
        <v>558</v>
      </c>
    </row>
    <row r="2" spans="1:7" ht="388.5" customHeight="1" x14ac:dyDescent="0.2">
      <c r="A2" s="373" t="s">
        <v>559</v>
      </c>
    </row>
    <row r="3" spans="1:7" x14ac:dyDescent="0.2">
      <c r="A3" s="371"/>
    </row>
    <row r="4" spans="1:7" ht="52.5" customHeight="1" x14ac:dyDescent="0.2">
      <c r="A4" s="374" t="s">
        <v>561</v>
      </c>
    </row>
    <row r="5" spans="1:7" x14ac:dyDescent="0.2">
      <c r="A5" s="371"/>
    </row>
    <row r="6" spans="1:7" ht="15" x14ac:dyDescent="0.2">
      <c r="A6" s="375" t="s">
        <v>557</v>
      </c>
    </row>
    <row r="7" spans="1:7" ht="18" x14ac:dyDescent="0.25">
      <c r="A7" s="372" t="s">
        <v>555</v>
      </c>
    </row>
    <row r="8" spans="1:7" x14ac:dyDescent="0.2">
      <c r="A8" s="371"/>
    </row>
    <row r="9" spans="1:7" ht="15" x14ac:dyDescent="0.2">
      <c r="A9" s="375" t="s">
        <v>560</v>
      </c>
    </row>
    <row r="10" spans="1:7" ht="18" x14ac:dyDescent="0.25">
      <c r="A10" s="372" t="s">
        <v>562</v>
      </c>
    </row>
    <row r="11" spans="1:7" x14ac:dyDescent="0.2">
      <c r="A11" s="371"/>
    </row>
    <row r="12" spans="1:7" x14ac:dyDescent="0.2">
      <c r="A12" s="371" t="s">
        <v>556</v>
      </c>
    </row>
    <row r="13" spans="1:7" x14ac:dyDescent="0.2">
      <c r="A13" s="371"/>
    </row>
    <row r="14" spans="1:7" ht="20.25" x14ac:dyDescent="0.3">
      <c r="A14" s="371"/>
      <c r="G14" s="370"/>
    </row>
    <row r="15" spans="1:7" x14ac:dyDescent="0.2">
      <c r="A15" s="371"/>
    </row>
  </sheetData>
  <hyperlinks>
    <hyperlink ref="A7" r:id="rId1"/>
    <hyperlink ref="A10" r:id="rId2" location="pnother"/>
  </hyperlinks>
  <pageMargins left="0.7" right="0.7" top="0.65" bottom="0.75" header="0.3" footer="0.3"/>
  <pageSetup scale="7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81"/>
  <sheetViews>
    <sheetView workbookViewId="0">
      <selection activeCell="F7" sqref="F7"/>
    </sheetView>
  </sheetViews>
  <sheetFormatPr defaultRowHeight="11.25" x14ac:dyDescent="0.2"/>
  <cols>
    <col min="1" max="1" width="5.85546875" style="5" customWidth="1"/>
    <col min="2" max="2" width="9" style="5" customWidth="1"/>
    <col min="3" max="3" width="10.5703125" style="5" bestFit="1" customWidth="1"/>
    <col min="4" max="4" width="11.140625" style="5" bestFit="1" customWidth="1"/>
    <col min="5" max="5" width="11.28515625" style="5" customWidth="1"/>
    <col min="6" max="6" width="13.28515625" style="7" bestFit="1" customWidth="1"/>
    <col min="7" max="7" width="16" style="8" customWidth="1"/>
    <col min="8" max="8" width="14.140625" style="8" customWidth="1"/>
    <col min="9" max="9" width="14" style="8" customWidth="1"/>
    <col min="10" max="16384" width="9.140625" style="247"/>
  </cols>
  <sheetData>
    <row r="1" spans="1:9" s="13" customFormat="1" ht="46.5" customHeight="1" x14ac:dyDescent="0.2">
      <c r="A1" s="296" t="str">
        <f>' VV - Example'!A1</f>
        <v>ALASKA DNR - OIL &amp; GAS  V 1.201308</v>
      </c>
      <c r="B1" s="246"/>
      <c r="F1" s="296" t="s">
        <v>427</v>
      </c>
    </row>
    <row r="2" spans="1:9" x14ac:dyDescent="0.2">
      <c r="A2" s="19" t="s">
        <v>39</v>
      </c>
      <c r="B2" s="1"/>
      <c r="C2" s="31" t="s">
        <v>300</v>
      </c>
      <c r="D2" s="1"/>
      <c r="E2" s="1"/>
      <c r="F2" s="346" t="str">
        <f>' VV - Example'!G2</f>
        <v>VV</v>
      </c>
      <c r="G2" s="11"/>
      <c r="H2" s="1"/>
      <c r="I2" s="1"/>
    </row>
    <row r="3" spans="1:9" s="248" customFormat="1" x14ac:dyDescent="0.2">
      <c r="A3" s="19" t="s">
        <v>33</v>
      </c>
      <c r="B3" s="1"/>
      <c r="C3" s="31" t="s">
        <v>301</v>
      </c>
      <c r="D3" s="1"/>
      <c r="E3" s="1"/>
      <c r="F3" s="346" t="str">
        <f>' VV - Example'!G3</f>
        <v>AL</v>
      </c>
      <c r="G3" s="11"/>
      <c r="H3" s="2"/>
      <c r="I3" s="2"/>
    </row>
    <row r="4" spans="1:9" s="249" customFormat="1" x14ac:dyDescent="0.2">
      <c r="A4" s="15" t="s">
        <v>40</v>
      </c>
      <c r="B4" s="16"/>
      <c r="C4" s="16"/>
      <c r="D4" s="16"/>
      <c r="E4" s="16"/>
      <c r="F4" s="346" t="str">
        <f>' VV - Example'!G4</f>
        <v>REG</v>
      </c>
      <c r="G4" s="16"/>
      <c r="H4" s="16"/>
      <c r="I4" s="16"/>
    </row>
    <row r="5" spans="1:9" x14ac:dyDescent="0.2">
      <c r="A5" s="3" t="s">
        <v>14</v>
      </c>
      <c r="B5" s="1"/>
      <c r="C5" s="1"/>
      <c r="D5" s="1"/>
      <c r="E5" s="1"/>
      <c r="F5" s="346" t="str">
        <f>' VV - Example'!G5</f>
        <v>000012345</v>
      </c>
      <c r="G5" s="11"/>
      <c r="H5" s="1"/>
      <c r="I5" s="1"/>
    </row>
    <row r="6" spans="1:9" x14ac:dyDescent="0.2">
      <c r="A6" s="3" t="s">
        <v>26</v>
      </c>
      <c r="B6" s="1"/>
      <c r="C6" s="1"/>
      <c r="D6" s="1"/>
      <c r="E6" s="1"/>
      <c r="F6" s="346" t="str">
        <f>' VV - Example'!G6</f>
        <v>ABC</v>
      </c>
      <c r="G6" s="11"/>
      <c r="H6" s="1"/>
      <c r="I6" s="1"/>
    </row>
    <row r="7" spans="1:9" x14ac:dyDescent="0.2">
      <c r="A7" s="3" t="s">
        <v>15</v>
      </c>
      <c r="B7" s="1"/>
      <c r="C7" s="1"/>
      <c r="D7" s="1"/>
      <c r="E7" s="1"/>
      <c r="F7" s="352">
        <f>' VV - Example'!G7</f>
        <v>41640</v>
      </c>
      <c r="G7" s="11"/>
      <c r="H7" s="1"/>
      <c r="I7" s="1"/>
    </row>
    <row r="8" spans="1:9" x14ac:dyDescent="0.2">
      <c r="A8" s="3" t="s">
        <v>17</v>
      </c>
      <c r="B8" s="1"/>
      <c r="C8" s="1"/>
      <c r="D8" s="1"/>
      <c r="E8" s="1"/>
      <c r="F8" s="346" t="str">
        <f>' VV - Example'!G8</f>
        <v>01</v>
      </c>
      <c r="G8" s="11"/>
      <c r="H8" s="1"/>
      <c r="I8" s="1"/>
    </row>
    <row r="9" spans="1:9" x14ac:dyDescent="0.2">
      <c r="A9" s="3" t="s">
        <v>5</v>
      </c>
      <c r="B9" s="1"/>
      <c r="C9" s="1"/>
      <c r="D9" s="1"/>
      <c r="E9" s="1"/>
      <c r="F9" s="352">
        <f>' VV - Example'!G9</f>
        <v>41699</v>
      </c>
      <c r="G9" s="11"/>
      <c r="H9" s="1"/>
      <c r="I9" s="1"/>
    </row>
    <row r="10" spans="1:9" x14ac:dyDescent="0.2">
      <c r="A10" s="3" t="s">
        <v>16</v>
      </c>
      <c r="B10" s="1"/>
      <c r="C10" s="1"/>
      <c r="D10" s="1"/>
      <c r="E10" s="1"/>
      <c r="F10" s="346" t="str">
        <f>' VV - Example'!G10</f>
        <v>000012345N03201400</v>
      </c>
      <c r="G10" s="11"/>
      <c r="H10" s="1"/>
      <c r="I10" s="1"/>
    </row>
    <row r="11" spans="1:9" x14ac:dyDescent="0.2">
      <c r="A11" s="3" t="s">
        <v>13</v>
      </c>
      <c r="B11" s="1"/>
      <c r="C11" s="1"/>
      <c r="D11" s="1"/>
      <c r="E11" s="1"/>
      <c r="F11" s="352">
        <f>' VV - Example'!G11</f>
        <v>41729</v>
      </c>
      <c r="G11" s="1"/>
      <c r="H11" s="1"/>
      <c r="I11" s="1"/>
    </row>
    <row r="12" spans="1:9" x14ac:dyDescent="0.2">
      <c r="A12" s="3" t="s">
        <v>7</v>
      </c>
      <c r="B12" s="1"/>
      <c r="C12" s="1"/>
      <c r="D12" s="1"/>
      <c r="E12" s="1"/>
      <c r="F12" s="346" t="str">
        <f>' VV - Example'!G12</f>
        <v>ADL #</v>
      </c>
      <c r="G12" s="11"/>
      <c r="H12" s="1"/>
      <c r="I12" s="1"/>
    </row>
    <row r="13" spans="1:9" x14ac:dyDescent="0.2">
      <c r="A13" s="3"/>
      <c r="B13" s="1"/>
      <c r="C13" s="1"/>
      <c r="D13" s="1"/>
      <c r="E13" s="1"/>
      <c r="F13" s="20"/>
      <c r="G13" s="11"/>
      <c r="H13" s="1"/>
      <c r="I13" s="1"/>
    </row>
    <row r="14" spans="1:9" x14ac:dyDescent="0.2">
      <c r="A14" s="3"/>
      <c r="B14" s="1"/>
      <c r="C14" s="1"/>
      <c r="D14" s="1"/>
      <c r="E14" s="1"/>
      <c r="F14" s="20"/>
      <c r="G14" s="11"/>
      <c r="H14" s="1"/>
      <c r="I14" s="1"/>
    </row>
    <row r="15" spans="1:9" x14ac:dyDescent="0.2">
      <c r="A15" s="3"/>
      <c r="B15" s="1"/>
      <c r="C15" s="1"/>
      <c r="D15" s="1"/>
      <c r="E15" s="1"/>
      <c r="F15" s="20"/>
      <c r="G15" s="11"/>
      <c r="H15" s="1"/>
      <c r="I15" s="1"/>
    </row>
    <row r="16" spans="1:9" x14ac:dyDescent="0.2">
      <c r="A16" s="3"/>
      <c r="B16" s="1"/>
      <c r="C16" s="1"/>
      <c r="D16" s="1"/>
      <c r="E16" s="1"/>
      <c r="F16" s="20"/>
      <c r="G16" s="11"/>
      <c r="H16" s="1"/>
      <c r="I16" s="1"/>
    </row>
    <row r="17" spans="1:9" x14ac:dyDescent="0.2">
      <c r="A17" s="3"/>
      <c r="B17" s="1"/>
      <c r="C17" s="1"/>
      <c r="D17" s="1"/>
      <c r="E17" s="1"/>
      <c r="F17" s="20"/>
      <c r="G17" s="11"/>
      <c r="H17" s="1"/>
      <c r="I17" s="1"/>
    </row>
    <row r="18" spans="1:9" s="249" customFormat="1" ht="12" customHeight="1" x14ac:dyDescent="0.2">
      <c r="A18" s="23"/>
      <c r="B18" s="23"/>
      <c r="C18" s="23"/>
      <c r="D18" s="23"/>
      <c r="E18" s="23"/>
      <c r="F18" s="23"/>
      <c r="G18" s="23"/>
      <c r="H18" s="23"/>
      <c r="I18" s="23"/>
    </row>
    <row r="19" spans="1:9" x14ac:dyDescent="0.2">
      <c r="A19" s="3" t="s">
        <v>22</v>
      </c>
      <c r="B19" s="1"/>
      <c r="C19" s="1"/>
      <c r="D19" s="1"/>
      <c r="E19" s="1"/>
      <c r="F19" s="346" t="str">
        <f>' VV - Example'!G19</f>
        <v>XYZ Company</v>
      </c>
      <c r="G19" s="1"/>
      <c r="H19" s="1"/>
      <c r="I19" s="1"/>
    </row>
    <row r="20" spans="1:9" x14ac:dyDescent="0.2">
      <c r="A20" s="3" t="s">
        <v>27</v>
      </c>
      <c r="B20" s="1"/>
      <c r="C20" s="1"/>
      <c r="D20" s="1"/>
      <c r="E20" s="1"/>
      <c r="F20" s="346" t="str">
        <f>' VV - Example'!G20</f>
        <v>Enter Data</v>
      </c>
      <c r="G20" s="1"/>
      <c r="H20" s="1"/>
      <c r="I20" s="1"/>
    </row>
    <row r="21" spans="1:9" x14ac:dyDescent="0.2">
      <c r="A21" s="3" t="s">
        <v>0</v>
      </c>
      <c r="B21" s="1"/>
      <c r="C21" s="1"/>
      <c r="D21" s="1"/>
      <c r="E21" s="1"/>
      <c r="F21" s="346" t="str">
        <f>' VV - Example'!G21</f>
        <v>Enter Data</v>
      </c>
      <c r="G21" s="1"/>
      <c r="H21" s="1"/>
      <c r="I21" s="1"/>
    </row>
    <row r="22" spans="1:9" x14ac:dyDescent="0.2">
      <c r="A22" s="3" t="s">
        <v>1</v>
      </c>
      <c r="B22" s="1"/>
      <c r="C22" s="1"/>
      <c r="D22" s="1"/>
      <c r="E22" s="1"/>
      <c r="F22" s="346" t="str">
        <f>' VV - Example'!G22</f>
        <v>Enter Data</v>
      </c>
      <c r="G22" s="1"/>
      <c r="H22" s="1"/>
      <c r="I22" s="1"/>
    </row>
    <row r="23" spans="1:9" x14ac:dyDescent="0.2">
      <c r="A23" s="3" t="s">
        <v>2</v>
      </c>
      <c r="B23" s="1"/>
      <c r="C23" s="1"/>
      <c r="D23" s="1"/>
      <c r="E23" s="1"/>
      <c r="F23" s="346" t="str">
        <f>' VV - Example'!G23</f>
        <v>Enter Data</v>
      </c>
      <c r="G23" s="1"/>
      <c r="H23" s="1"/>
      <c r="I23" s="1"/>
    </row>
    <row r="24" spans="1:9" x14ac:dyDescent="0.2">
      <c r="A24" s="3" t="s">
        <v>3</v>
      </c>
      <c r="B24" s="1"/>
      <c r="C24" s="1"/>
      <c r="D24" s="1"/>
      <c r="E24" s="1"/>
      <c r="F24" s="346" t="str">
        <f>' VV - Example'!G24</f>
        <v>Enter Data</v>
      </c>
      <c r="G24" s="1"/>
      <c r="H24" s="1"/>
      <c r="I24" s="1"/>
    </row>
    <row r="25" spans="1:9" x14ac:dyDescent="0.2">
      <c r="A25" s="3" t="s">
        <v>4</v>
      </c>
      <c r="B25" s="1"/>
      <c r="C25" s="1"/>
      <c r="D25" s="1"/>
      <c r="E25" s="1"/>
      <c r="F25" s="346" t="str">
        <f>' VV - Example'!G25</f>
        <v>Enter Data</v>
      </c>
      <c r="G25" s="1"/>
      <c r="H25" s="1"/>
      <c r="I25" s="1"/>
    </row>
    <row r="26" spans="1:9" x14ac:dyDescent="0.2">
      <c r="A26" s="3" t="s">
        <v>6</v>
      </c>
      <c r="B26" s="1"/>
      <c r="C26" s="1"/>
      <c r="D26" s="1"/>
      <c r="E26" s="1"/>
      <c r="F26" s="346" t="str">
        <f>' VV - Example'!G26</f>
        <v>Enter Data</v>
      </c>
      <c r="G26" s="1"/>
      <c r="H26" s="1"/>
      <c r="I26" s="1"/>
    </row>
    <row r="27" spans="1:9" x14ac:dyDescent="0.2">
      <c r="A27" s="3" t="s">
        <v>8</v>
      </c>
      <c r="B27" s="1"/>
      <c r="C27" s="1"/>
      <c r="D27" s="1"/>
      <c r="E27" s="1"/>
      <c r="F27" s="346" t="str">
        <f>' VV - Example'!G27</f>
        <v>Enter Data</v>
      </c>
      <c r="G27" s="1"/>
      <c r="H27" s="1"/>
      <c r="I27" s="1"/>
    </row>
    <row r="28" spans="1:9" x14ac:dyDescent="0.2">
      <c r="A28" s="3" t="s">
        <v>9</v>
      </c>
      <c r="B28" s="1"/>
      <c r="C28" s="1"/>
      <c r="D28" s="1"/>
      <c r="E28" s="1"/>
      <c r="F28" s="346" t="str">
        <f>' VV - Example'!G28</f>
        <v>Enter Data</v>
      </c>
      <c r="G28" s="1"/>
      <c r="H28" s="1"/>
      <c r="I28" s="1"/>
    </row>
    <row r="29" spans="1:9" x14ac:dyDescent="0.2">
      <c r="A29" s="3" t="s">
        <v>12</v>
      </c>
      <c r="B29" s="1"/>
      <c r="C29" s="1"/>
      <c r="D29" s="1"/>
      <c r="E29" s="1"/>
      <c r="F29" s="346" t="str">
        <f>' VV - Example'!G29</f>
        <v>Enter Data</v>
      </c>
      <c r="G29" s="1"/>
      <c r="H29" s="1"/>
      <c r="I29" s="1"/>
    </row>
    <row r="30" spans="1:9" x14ac:dyDescent="0.2">
      <c r="A30" s="3" t="s">
        <v>18</v>
      </c>
      <c r="B30" s="1"/>
      <c r="C30" s="1"/>
      <c r="D30" s="1"/>
      <c r="E30" s="1"/>
      <c r="F30" s="346" t="str">
        <f>' VV - Example'!G30</f>
        <v>Enter Data</v>
      </c>
      <c r="G30" s="1"/>
      <c r="H30" s="1"/>
      <c r="I30" s="1"/>
    </row>
    <row r="31" spans="1:9" x14ac:dyDescent="0.2">
      <c r="A31" s="3" t="s">
        <v>10</v>
      </c>
      <c r="B31" s="1"/>
      <c r="C31" s="1"/>
      <c r="D31" s="1"/>
      <c r="E31" s="1"/>
      <c r="F31" s="346" t="str">
        <f>' VV - Example'!G31</f>
        <v>Enter Data</v>
      </c>
      <c r="G31" s="1"/>
      <c r="H31" s="1"/>
      <c r="I31" s="1"/>
    </row>
    <row r="32" spans="1:9" x14ac:dyDescent="0.2">
      <c r="A32" s="3" t="s">
        <v>11</v>
      </c>
      <c r="B32" s="1"/>
      <c r="C32" s="1"/>
      <c r="D32" s="1"/>
      <c r="E32" s="1"/>
      <c r="F32" s="346" t="str">
        <f>' VV - Example'!G32</f>
        <v>Enter Data</v>
      </c>
      <c r="G32" s="1"/>
      <c r="H32" s="1"/>
      <c r="I32" s="1"/>
    </row>
    <row r="33" spans="1:9" s="250" customFormat="1" ht="22.5" x14ac:dyDescent="0.2">
      <c r="A33" s="6" t="s">
        <v>19</v>
      </c>
      <c r="B33" s="6" t="s">
        <v>28</v>
      </c>
      <c r="C33" s="6" t="s">
        <v>29</v>
      </c>
      <c r="D33" s="6" t="s">
        <v>20</v>
      </c>
      <c r="E33" s="6" t="s">
        <v>30</v>
      </c>
      <c r="F33" s="6" t="s">
        <v>31</v>
      </c>
      <c r="G33" s="6" t="s">
        <v>21</v>
      </c>
      <c r="H33" s="6" t="s">
        <v>32</v>
      </c>
      <c r="I33" s="6" t="s">
        <v>255</v>
      </c>
    </row>
    <row r="34" spans="1:9" x14ac:dyDescent="0.2">
      <c r="A34" s="108">
        <f>' VV - Example'!A34</f>
        <v>1</v>
      </c>
      <c r="B34" s="4" t="str">
        <f>' VV - Example'!C34</f>
        <v>O</v>
      </c>
      <c r="C34" s="4" t="str">
        <f>' VV - Example'!D34</f>
        <v>0010</v>
      </c>
      <c r="D34" s="4" t="str">
        <f>' VV - Example'!E34</f>
        <v>WIO</v>
      </c>
      <c r="E34" s="118">
        <f>' VV - Example'!F34</f>
        <v>800000.12</v>
      </c>
      <c r="F34" s="117"/>
      <c r="G34" s="118"/>
      <c r="H34" s="4" t="str">
        <f>' VV - Example'!I34</f>
        <v>211001A000</v>
      </c>
      <c r="I34" s="245">
        <f>' VV - Example'!J34</f>
        <v>0</v>
      </c>
    </row>
    <row r="35" spans="1:9" x14ac:dyDescent="0.2">
      <c r="A35" s="108">
        <f>' VV - Example'!A35</f>
        <v>2</v>
      </c>
      <c r="B35" s="4" t="str">
        <f>' VV - Example'!C35</f>
        <v>O</v>
      </c>
      <c r="C35" s="4" t="str">
        <f>' VV - Example'!D35</f>
        <v>0010</v>
      </c>
      <c r="D35" s="4" t="str">
        <f>' VV - Example'!E35</f>
        <v>OS</v>
      </c>
      <c r="E35" s="118">
        <f>' VV - Example'!F35</f>
        <v>80000.012000000002</v>
      </c>
      <c r="F35" s="117"/>
      <c r="G35" s="118"/>
      <c r="H35" s="4" t="str">
        <f>' VV - Example'!I35</f>
        <v>211001A000</v>
      </c>
      <c r="I35" s="245">
        <f>' VV - Example'!J35</f>
        <v>0</v>
      </c>
    </row>
    <row r="36" spans="1:9" x14ac:dyDescent="0.2">
      <c r="A36" s="108">
        <f>' VV - Example'!A36</f>
        <v>3</v>
      </c>
      <c r="B36" s="4" t="str">
        <f>' VV - Example'!C36</f>
        <v>O</v>
      </c>
      <c r="C36" s="4" t="str">
        <f>' VV - Example'!D36</f>
        <v>0010</v>
      </c>
      <c r="D36" s="4" t="str">
        <f>' VV - Example'!E36</f>
        <v>US</v>
      </c>
      <c r="E36" s="118">
        <f>' VV - Example'!F36</f>
        <v>720000.10800000001</v>
      </c>
      <c r="F36" s="117"/>
      <c r="G36" s="118"/>
      <c r="H36" s="4" t="str">
        <f>' VV - Example'!I36</f>
        <v>211001A000</v>
      </c>
      <c r="I36" s="245">
        <f>' VV - Example'!J36</f>
        <v>0</v>
      </c>
    </row>
    <row r="37" spans="1:9" x14ac:dyDescent="0.2">
      <c r="A37" s="108">
        <f>' VV - Example'!A37</f>
        <v>4</v>
      </c>
      <c r="B37" s="4" t="str">
        <f>' VV - Example'!C37</f>
        <v>O</v>
      </c>
      <c r="C37" s="4" t="str">
        <f>' VV - Example'!D37</f>
        <v>2010</v>
      </c>
      <c r="D37" s="4" t="str">
        <f>' VV - Example'!E37</f>
        <v>ROY</v>
      </c>
      <c r="E37" s="118">
        <f>' VV - Example'!F37</f>
        <v>90000.013500000001</v>
      </c>
      <c r="F37" s="117"/>
      <c r="G37" s="118"/>
      <c r="H37" s="4" t="str">
        <f>' VV - Example'!I37</f>
        <v>211001A000</v>
      </c>
      <c r="I37" s="245">
        <f>' VV - Example'!J37</f>
        <v>0</v>
      </c>
    </row>
    <row r="38" spans="1:9" x14ac:dyDescent="0.2">
      <c r="A38" s="108">
        <f>' VV - Example'!A38</f>
        <v>5</v>
      </c>
      <c r="B38" s="4" t="str">
        <f>' VV - Example'!C38</f>
        <v>O</v>
      </c>
      <c r="C38" s="4" t="str">
        <f>' VV - Example'!D38</f>
        <v>2010</v>
      </c>
      <c r="D38" s="4" t="str">
        <f>' VV - Example'!E38</f>
        <v>RIV</v>
      </c>
      <c r="E38" s="118">
        <f>' VV - Example'!F38</f>
        <v>80000.011499999993</v>
      </c>
      <c r="F38" s="117"/>
      <c r="G38" s="118"/>
      <c r="H38" s="4" t="str">
        <f>' VV - Example'!I38</f>
        <v>211001A000</v>
      </c>
      <c r="I38" s="245">
        <f>' VV - Example'!J38</f>
        <v>0</v>
      </c>
    </row>
    <row r="39" spans="1:9" x14ac:dyDescent="0.2">
      <c r="A39" s="108">
        <f>' VV - Example'!A39</f>
        <v>6</v>
      </c>
      <c r="B39" s="4" t="str">
        <f>' VV - Example'!C39</f>
        <v>O</v>
      </c>
      <c r="C39" s="4" t="str">
        <f>' VV - Example'!D39</f>
        <v>2010</v>
      </c>
      <c r="D39" s="4" t="str">
        <f>' VV - Example'!E39</f>
        <v>RIK</v>
      </c>
      <c r="E39" s="118">
        <f>' VV - Example'!F39</f>
        <v>10000.002</v>
      </c>
      <c r="F39" s="117"/>
      <c r="G39" s="118"/>
      <c r="H39" s="4" t="str">
        <f>' VV - Example'!I39</f>
        <v>211001A000</v>
      </c>
      <c r="I39" s="245">
        <f>' VV - Example'!J39</f>
        <v>0</v>
      </c>
    </row>
    <row r="40" spans="1:9" x14ac:dyDescent="0.2">
      <c r="A40" s="108">
        <f>' VV - Example'!A40</f>
        <v>7</v>
      </c>
      <c r="B40" s="4" t="str">
        <f>' VV - Example'!C40</f>
        <v>O</v>
      </c>
      <c r="C40" s="4" t="str">
        <f>' VV - Example'!D40</f>
        <v>2010</v>
      </c>
      <c r="D40" s="4" t="str">
        <f>' VV - Example'!E40</f>
        <v>SV</v>
      </c>
      <c r="E40" s="118"/>
      <c r="F40" s="307">
        <f>' VV - Example'!G40</f>
        <v>105.44456</v>
      </c>
      <c r="G40" s="118"/>
      <c r="H40" s="4" t="str">
        <f>' VV - Example'!I40</f>
        <v>211001A000</v>
      </c>
      <c r="I40" s="245">
        <f>' VV - Example'!J40</f>
        <v>0</v>
      </c>
    </row>
    <row r="41" spans="1:9" x14ac:dyDescent="0.2">
      <c r="A41" s="108">
        <f>' VV - Example'!A41</f>
        <v>8</v>
      </c>
      <c r="B41" s="4" t="str">
        <f>' VV - Example'!C41</f>
        <v>O</v>
      </c>
      <c r="C41" s="4" t="str">
        <f>' VV - Example'!D41</f>
        <v>2010</v>
      </c>
      <c r="D41" s="4" t="str">
        <f>' VV - Example'!E41</f>
        <v>KT</v>
      </c>
      <c r="E41" s="118"/>
      <c r="F41" s="307">
        <f>' VV - Example'!G41</f>
        <v>-0.22234000000000001</v>
      </c>
      <c r="G41" s="118"/>
      <c r="H41" s="4" t="str">
        <f>' VV - Example'!I41</f>
        <v>211001A000</v>
      </c>
      <c r="I41" s="245">
        <f>' VV - Example'!J41</f>
        <v>0</v>
      </c>
    </row>
    <row r="42" spans="1:9" x14ac:dyDescent="0.2">
      <c r="A42" s="108">
        <f>' VV - Example'!A42</f>
        <v>9</v>
      </c>
      <c r="B42" s="4" t="str">
        <f>' VV - Example'!C42</f>
        <v>O</v>
      </c>
      <c r="C42" s="4" t="str">
        <f>' VV - Example'!D42</f>
        <v>2010</v>
      </c>
      <c r="D42" s="4" t="str">
        <f>' VV - Example'!E42</f>
        <v>TT</v>
      </c>
      <c r="E42" s="118"/>
      <c r="F42" s="307">
        <f>' VV - Example'!G42</f>
        <v>-4.8678900000000001</v>
      </c>
      <c r="G42" s="118"/>
      <c r="H42" s="4" t="str">
        <f>' VV - Example'!I42</f>
        <v>211001A000</v>
      </c>
      <c r="I42" s="245">
        <f>' VV - Example'!J42</f>
        <v>0</v>
      </c>
    </row>
    <row r="43" spans="1:9" x14ac:dyDescent="0.2">
      <c r="A43" s="108">
        <f>' VV - Example'!A43</f>
        <v>10</v>
      </c>
      <c r="B43" s="4" t="str">
        <f>' VV - Example'!C43</f>
        <v>O</v>
      </c>
      <c r="C43" s="4" t="str">
        <f>' VV - Example'!D43</f>
        <v>2010</v>
      </c>
      <c r="D43" s="4" t="str">
        <f>' VV - Example'!E43</f>
        <v>L</v>
      </c>
      <c r="E43" s="118"/>
      <c r="F43" s="307">
        <f>' VV - Example'!G43</f>
        <v>-0.09</v>
      </c>
      <c r="G43" s="118"/>
      <c r="H43" s="4" t="str">
        <f>' VV - Example'!I43</f>
        <v>211001A000</v>
      </c>
      <c r="I43" s="245">
        <f>' VV - Example'!J43</f>
        <v>0</v>
      </c>
    </row>
    <row r="44" spans="1:9" x14ac:dyDescent="0.2">
      <c r="A44" s="108">
        <f>' VV - Example'!A44</f>
        <v>11</v>
      </c>
      <c r="B44" s="4" t="str">
        <f>' VV - Example'!C44</f>
        <v>O</v>
      </c>
      <c r="C44" s="4" t="str">
        <f>' VV - Example'!D44</f>
        <v>2010</v>
      </c>
      <c r="D44" s="4" t="str">
        <f>' VV - Example'!E44</f>
        <v>QA</v>
      </c>
      <c r="E44" s="118"/>
      <c r="F44" s="307">
        <f>' VV - Example'!G44</f>
        <v>-1.19</v>
      </c>
      <c r="G44" s="118"/>
      <c r="H44" s="4" t="str">
        <f>' VV - Example'!I44</f>
        <v>211001A000</v>
      </c>
      <c r="I44" s="245">
        <f>' VV - Example'!J44</f>
        <v>0</v>
      </c>
    </row>
    <row r="45" spans="1:9" x14ac:dyDescent="0.2">
      <c r="A45" s="108">
        <f>' VV - Example'!A45</f>
        <v>12</v>
      </c>
      <c r="B45" s="4" t="str">
        <f>' VV - Example'!C45</f>
        <v>O</v>
      </c>
      <c r="C45" s="4" t="str">
        <f>' VV - Example'!D45</f>
        <v>2010</v>
      </c>
      <c r="D45" s="4" t="str">
        <f>' VV - Example'!E45</f>
        <v>MT</v>
      </c>
      <c r="E45" s="118"/>
      <c r="F45" s="307">
        <f>' VV - Example'!G45</f>
        <v>-1.37</v>
      </c>
      <c r="G45" s="118"/>
      <c r="H45" s="4" t="str">
        <f>' VV - Example'!I45</f>
        <v>211001A000</v>
      </c>
      <c r="I45" s="245">
        <f>' VV - Example'!J45</f>
        <v>0</v>
      </c>
    </row>
    <row r="46" spans="1:9" x14ac:dyDescent="0.2">
      <c r="A46" s="108">
        <f>' VV - Example'!A46</f>
        <v>13</v>
      </c>
      <c r="B46" s="4" t="str">
        <f>' VV - Example'!C46</f>
        <v>O</v>
      </c>
      <c r="C46" s="4" t="str">
        <f>' VV - Example'!D46</f>
        <v>2010</v>
      </c>
      <c r="D46" s="4" t="str">
        <f>' VV - Example'!E46</f>
        <v>SVA</v>
      </c>
      <c r="E46" s="118"/>
      <c r="F46" s="307">
        <f>' VV - Example'!G46</f>
        <v>0</v>
      </c>
      <c r="G46" s="118"/>
      <c r="H46" s="4" t="str">
        <f>' VV - Example'!I46</f>
        <v>211001A000</v>
      </c>
      <c r="I46" s="245">
        <f>' VV - Example'!J46</f>
        <v>0</v>
      </c>
    </row>
    <row r="47" spans="1:9" x14ac:dyDescent="0.2">
      <c r="A47" s="108">
        <f>' VV - Example'!A47</f>
        <v>14</v>
      </c>
      <c r="B47" s="4" t="str">
        <f>' VV - Example'!C47</f>
        <v>O</v>
      </c>
      <c r="C47" s="4" t="str">
        <f>' VV - Example'!D47</f>
        <v>2010</v>
      </c>
      <c r="D47" s="4" t="str">
        <f>' VV - Example'!E47</f>
        <v>TADJ</v>
      </c>
      <c r="E47" s="118"/>
      <c r="F47" s="307">
        <f>' VV - Example'!G47</f>
        <v>0</v>
      </c>
      <c r="G47" s="118"/>
      <c r="H47" s="4" t="str">
        <f>' VV - Example'!I47</f>
        <v>211001A000</v>
      </c>
      <c r="I47" s="245">
        <f>' VV - Example'!J47</f>
        <v>0</v>
      </c>
    </row>
    <row r="48" spans="1:9" x14ac:dyDescent="0.2">
      <c r="A48" s="108">
        <f>' VV - Example'!A48</f>
        <v>15</v>
      </c>
      <c r="B48" s="4" t="str">
        <f>' VV - Example'!C48</f>
        <v>O</v>
      </c>
      <c r="C48" s="4" t="str">
        <f>' VV - Example'!D48</f>
        <v>2010</v>
      </c>
      <c r="D48" s="4" t="str">
        <f>' VV - Example'!E48</f>
        <v>AA</v>
      </c>
      <c r="E48" s="118"/>
      <c r="F48" s="307">
        <f>' VV - Example'!G48</f>
        <v>0</v>
      </c>
      <c r="G48" s="118"/>
      <c r="H48" s="4" t="str">
        <f>' VV - Example'!I48</f>
        <v>211001A000</v>
      </c>
      <c r="I48" s="245">
        <f>' VV - Example'!J48</f>
        <v>0</v>
      </c>
    </row>
    <row r="49" spans="1:9" x14ac:dyDescent="0.2">
      <c r="A49" s="108">
        <f>' VV - Example'!A49</f>
        <v>16</v>
      </c>
      <c r="B49" s="4" t="str">
        <f>' VV - Example'!C49</f>
        <v>O</v>
      </c>
      <c r="C49" s="4" t="str">
        <f>' VV - Example'!D49</f>
        <v>2010</v>
      </c>
      <c r="D49" s="4" t="str">
        <f>' VV - Example'!E49</f>
        <v>RV</v>
      </c>
      <c r="E49" s="118"/>
      <c r="F49" s="307">
        <f>' VV - Example'!G49</f>
        <v>97.704329999999985</v>
      </c>
      <c r="G49" s="118"/>
      <c r="H49" s="4" t="str">
        <f>' VV - Example'!I49</f>
        <v>211001A000</v>
      </c>
      <c r="I49" s="245">
        <f>' VV - Example'!J49</f>
        <v>0</v>
      </c>
    </row>
    <row r="50" spans="1:9" x14ac:dyDescent="0.2">
      <c r="A50" s="108">
        <f>' VV - Example'!A50</f>
        <v>17</v>
      </c>
      <c r="B50" s="4" t="str">
        <f>' VV - Example'!C50</f>
        <v>O</v>
      </c>
      <c r="C50" s="4" t="str">
        <f>' VV - Example'!D50</f>
        <v>2010</v>
      </c>
      <c r="D50" s="4" t="str">
        <f>' VV - Example'!E50</f>
        <v>FC</v>
      </c>
      <c r="E50" s="118"/>
      <c r="F50" s="307">
        <f>' VV - Example'!G50</f>
        <v>0</v>
      </c>
      <c r="G50" s="118"/>
      <c r="H50" s="4" t="str">
        <f>' VV - Example'!I50</f>
        <v>211001A000</v>
      </c>
      <c r="I50" s="245">
        <f>' VV - Example'!J50</f>
        <v>0</v>
      </c>
    </row>
    <row r="51" spans="1:9" x14ac:dyDescent="0.2">
      <c r="A51" s="108">
        <f>' VV - Example'!A51</f>
        <v>18</v>
      </c>
      <c r="B51" s="4" t="str">
        <f>' VV - Example'!C51</f>
        <v>O</v>
      </c>
      <c r="C51" s="4" t="str">
        <f>' VV - Example'!D51</f>
        <v>2010</v>
      </c>
      <c r="D51" s="4" t="str">
        <f>' VV - Example'!E51</f>
        <v>WH</v>
      </c>
      <c r="E51" s="118"/>
      <c r="F51" s="307">
        <f>' VV - Example'!G51</f>
        <v>97.704329999999985</v>
      </c>
      <c r="G51" s="118"/>
      <c r="H51" s="4" t="str">
        <f>' VV - Example'!I51</f>
        <v>211001A000</v>
      </c>
      <c r="I51" s="245">
        <f>' VV - Example'!J51</f>
        <v>0</v>
      </c>
    </row>
    <row r="52" spans="1:9" x14ac:dyDescent="0.2">
      <c r="A52" s="108">
        <f>' VV - Example'!A52</f>
        <v>19</v>
      </c>
      <c r="B52" s="4" t="str">
        <f>' VV - Example'!C52</f>
        <v>O</v>
      </c>
      <c r="C52" s="4" t="str">
        <f>' VV - Example'!D52</f>
        <v>2010</v>
      </c>
      <c r="D52" s="4" t="str">
        <f>' VV - Example'!E52</f>
        <v>SADJ</v>
      </c>
      <c r="E52" s="118"/>
      <c r="F52" s="307"/>
      <c r="G52" s="118">
        <f>' VV - Example'!H52</f>
        <v>0</v>
      </c>
      <c r="H52" s="4" t="str">
        <f>' VV - Example'!I52</f>
        <v>211001A000</v>
      </c>
      <c r="I52" s="245">
        <f>' VV - Example'!J52</f>
        <v>0</v>
      </c>
    </row>
    <row r="53" spans="1:9" x14ac:dyDescent="0.2">
      <c r="A53" s="108">
        <f>' VV - Example'!A53</f>
        <v>20</v>
      </c>
      <c r="B53" s="4" t="str">
        <f>' VV - Example'!C53</f>
        <v>O</v>
      </c>
      <c r="C53" s="4" t="str">
        <f>' VV - Example'!D53</f>
        <v>2010</v>
      </c>
      <c r="D53" s="4" t="str">
        <f>' VV - Example'!E53</f>
        <v>TV</v>
      </c>
      <c r="E53" s="118"/>
      <c r="F53" s="307" t="str">
        <f>' VV - Example'!G53</f>
        <v xml:space="preserve"> </v>
      </c>
      <c r="G53" s="118">
        <f>' VV - Example'!H53</f>
        <v>70347128.150000006</v>
      </c>
      <c r="H53" s="4" t="str">
        <f>' VV - Example'!I53</f>
        <v>211001A000</v>
      </c>
      <c r="I53" s="245">
        <f>' VV - Example'!J53</f>
        <v>0</v>
      </c>
    </row>
    <row r="54" spans="1:9" x14ac:dyDescent="0.2">
      <c r="A54" s="108">
        <f>' VV - Example'!A54</f>
        <v>21</v>
      </c>
      <c r="B54" s="4" t="str">
        <f>' VV - Example'!C54</f>
        <v>O</v>
      </c>
      <c r="C54" s="4" t="str">
        <f>' VV - Example'!D54</f>
        <v>2010</v>
      </c>
      <c r="D54" s="4" t="str">
        <f>' VV - Example'!E54</f>
        <v>RYE</v>
      </c>
      <c r="E54" s="118"/>
      <c r="F54" s="307"/>
      <c r="G54" s="118">
        <f>' VV - Example'!H54</f>
        <v>8793391.0199999996</v>
      </c>
      <c r="H54" s="4" t="str">
        <f>' VV - Example'!I54</f>
        <v>211001A000</v>
      </c>
      <c r="I54" s="245">
        <f>' VV - Example'!J54</f>
        <v>0</v>
      </c>
    </row>
    <row r="55" spans="1:9" x14ac:dyDescent="0.2">
      <c r="A55" s="108">
        <f>' VV - Example'!A55</f>
        <v>22</v>
      </c>
      <c r="B55" s="4" t="str">
        <f>' VV - Example'!C55</f>
        <v>O</v>
      </c>
      <c r="C55" s="4" t="str">
        <f>' VV - Example'!D55</f>
        <v>2010</v>
      </c>
      <c r="D55" s="4" t="str">
        <f>' VV - Example'!E55</f>
        <v>ACR</v>
      </c>
      <c r="E55" s="118"/>
      <c r="F55" s="307">
        <f>' VV - Example'!G55</f>
        <v>0.19839999999999999</v>
      </c>
      <c r="G55" s="118"/>
      <c r="H55" s="4" t="str">
        <f>' VV - Example'!I55</f>
        <v>211001A000</v>
      </c>
      <c r="I55" s="245">
        <f>' VV - Example'!J55</f>
        <v>0</v>
      </c>
    </row>
    <row r="56" spans="1:9" x14ac:dyDescent="0.2">
      <c r="A56" s="108">
        <f>' VV - Example'!A56</f>
        <v>23</v>
      </c>
      <c r="B56" s="4" t="str">
        <f>' VV - Example'!C56</f>
        <v>O</v>
      </c>
      <c r="C56" s="4" t="str">
        <f>' VV - Example'!D56</f>
        <v>2010</v>
      </c>
      <c r="D56" s="4" t="str">
        <f>' VV - Example'!E56</f>
        <v>AC</v>
      </c>
      <c r="E56" s="118"/>
      <c r="F56" s="307" t="str">
        <f>' VV - Example'!G56</f>
        <v xml:space="preserve"> </v>
      </c>
      <c r="G56" s="118">
        <f>' VV - Example'!H56</f>
        <v>142848.01999999999</v>
      </c>
      <c r="H56" s="4" t="str">
        <f>' VV - Example'!I56</f>
        <v>211001A000</v>
      </c>
      <c r="I56" s="245">
        <f>' VV - Example'!J56</f>
        <v>0</v>
      </c>
    </row>
    <row r="57" spans="1:9" x14ac:dyDescent="0.2">
      <c r="A57" s="108">
        <f>' VV - Example'!A57</f>
        <v>24</v>
      </c>
      <c r="B57" s="4" t="str">
        <f>' VV - Example'!C57</f>
        <v>O</v>
      </c>
      <c r="C57" s="4" t="str">
        <f>' VV - Example'!D57</f>
        <v>2010</v>
      </c>
      <c r="D57" s="4" t="str">
        <f>' VV - Example'!E57</f>
        <v>CAPFR</v>
      </c>
      <c r="E57" s="118"/>
      <c r="F57" s="307">
        <f>' VV - Example'!G57</f>
        <v>0.96</v>
      </c>
      <c r="G57" s="118"/>
      <c r="H57" s="4" t="str">
        <f>' VV - Example'!I57</f>
        <v>211001A000</v>
      </c>
      <c r="I57" s="245">
        <f>' VV - Example'!J57</f>
        <v>0</v>
      </c>
    </row>
    <row r="58" spans="1:9" x14ac:dyDescent="0.2">
      <c r="A58" s="108">
        <f>' VV - Example'!A58</f>
        <v>25</v>
      </c>
      <c r="B58" s="4" t="str">
        <f>' VV - Example'!C58</f>
        <v>O</v>
      </c>
      <c r="C58" s="4" t="str">
        <f>' VV - Example'!D58</f>
        <v>2010</v>
      </c>
      <c r="D58" s="4" t="str">
        <f>' VV - Example'!E58</f>
        <v>CAPF</v>
      </c>
      <c r="E58" s="118"/>
      <c r="F58" s="307"/>
      <c r="G58" s="118">
        <f>' VV - Example'!H58</f>
        <v>768000.12</v>
      </c>
      <c r="H58" s="4" t="str">
        <f>' VV - Example'!I58</f>
        <v>211001A000</v>
      </c>
      <c r="I58" s="245">
        <f>' VV - Example'!J58</f>
        <v>0</v>
      </c>
    </row>
    <row r="59" spans="1:9" x14ac:dyDescent="0.2">
      <c r="A59" s="108">
        <f>' VV - Example'!A59</f>
        <v>26</v>
      </c>
      <c r="B59" s="4" t="str">
        <f>' VV - Example'!C59</f>
        <v>D</v>
      </c>
      <c r="C59" s="4" t="str">
        <f>' VV - Example'!D59</f>
        <v>0300</v>
      </c>
      <c r="D59" s="4" t="str">
        <f>' VV - Example'!E59</f>
        <v>WIO</v>
      </c>
      <c r="E59" s="118">
        <f>' VV - Example'!F59</f>
        <v>1886.69</v>
      </c>
      <c r="F59" s="307"/>
      <c r="G59" s="118"/>
      <c r="H59" s="4" t="str">
        <f>' VV - Example'!I59</f>
        <v>211001A000</v>
      </c>
      <c r="I59" s="245">
        <f>' VV - Example'!J59</f>
        <v>0</v>
      </c>
    </row>
    <row r="60" spans="1:9" x14ac:dyDescent="0.2">
      <c r="A60" s="108">
        <f>' VV - Example'!A60</f>
        <v>27</v>
      </c>
      <c r="B60" s="4" t="str">
        <f>' VV - Example'!C60</f>
        <v>D</v>
      </c>
      <c r="C60" s="4" t="str">
        <f>' VV - Example'!D60</f>
        <v>2300</v>
      </c>
      <c r="D60" s="4" t="str">
        <f>' VV - Example'!E60</f>
        <v>ROY</v>
      </c>
      <c r="E60" s="118">
        <f>' VV - Example'!F60</f>
        <v>235.84</v>
      </c>
      <c r="F60" s="307"/>
      <c r="G60" s="118"/>
      <c r="H60" s="4" t="str">
        <f>' VV - Example'!I60</f>
        <v>211001A000</v>
      </c>
      <c r="I60" s="245">
        <f>' VV - Example'!J60</f>
        <v>0</v>
      </c>
    </row>
    <row r="61" spans="1:9" x14ac:dyDescent="0.2">
      <c r="A61" s="108">
        <f>' VV - Example'!A61</f>
        <v>28</v>
      </c>
      <c r="B61" s="4" t="str">
        <f>' VV - Example'!C61</f>
        <v>D</v>
      </c>
      <c r="C61" s="4" t="str">
        <f>' VV - Example'!D61</f>
        <v>2300</v>
      </c>
      <c r="D61" s="4" t="str">
        <f>' VV - Example'!E61</f>
        <v>ROYB</v>
      </c>
      <c r="E61" s="118">
        <f>' VV - Example'!F61</f>
        <v>39.306666666666665</v>
      </c>
      <c r="F61" s="307"/>
      <c r="G61" s="118"/>
      <c r="H61" s="4" t="str">
        <f>' VV - Example'!I61</f>
        <v>211001A000</v>
      </c>
      <c r="I61" s="245">
        <f>' VV - Example'!J61</f>
        <v>0</v>
      </c>
    </row>
    <row r="62" spans="1:9" x14ac:dyDescent="0.2">
      <c r="A62" s="108">
        <f>' VV - Example'!A62</f>
        <v>29</v>
      </c>
      <c r="B62" s="4" t="str">
        <f>' VV - Example'!C62</f>
        <v>D</v>
      </c>
      <c r="C62" s="4" t="str">
        <f>' VV - Example'!D62</f>
        <v>2300</v>
      </c>
      <c r="D62" s="4" t="str">
        <f>' VV - Example'!E62</f>
        <v>RIV</v>
      </c>
      <c r="E62" s="118">
        <f>' VV - Example'!F62</f>
        <v>212.26</v>
      </c>
      <c r="F62" s="307"/>
      <c r="G62" s="118"/>
      <c r="H62" s="4" t="str">
        <f>' VV - Example'!I62</f>
        <v>211001A000</v>
      </c>
      <c r="I62" s="245">
        <f>' VV - Example'!J62</f>
        <v>0</v>
      </c>
    </row>
    <row r="63" spans="1:9" x14ac:dyDescent="0.2">
      <c r="A63" s="108">
        <f>' VV - Example'!A63</f>
        <v>30</v>
      </c>
      <c r="B63" s="4" t="str">
        <f>' VV - Example'!C63</f>
        <v>D</v>
      </c>
      <c r="C63" s="4" t="str">
        <f>' VV - Example'!D63</f>
        <v>2300</v>
      </c>
      <c r="D63" s="4" t="str">
        <f>' VV - Example'!E63</f>
        <v>RIK</v>
      </c>
      <c r="E63" s="118">
        <f>' VV - Example'!F63</f>
        <v>23.58</v>
      </c>
      <c r="F63" s="307"/>
      <c r="G63" s="118"/>
      <c r="H63" s="4" t="str">
        <f>' VV - Example'!I63</f>
        <v>211001A000</v>
      </c>
      <c r="I63" s="245">
        <f>' VV - Example'!J63</f>
        <v>0</v>
      </c>
    </row>
    <row r="64" spans="1:9" x14ac:dyDescent="0.2">
      <c r="A64" s="108">
        <f>' VV - Example'!A64</f>
        <v>31</v>
      </c>
      <c r="B64" s="4" t="str">
        <f>' VV - Example'!C64</f>
        <v>D</v>
      </c>
      <c r="C64" s="4" t="str">
        <f>' VV - Example'!D64</f>
        <v>2300</v>
      </c>
      <c r="D64" s="4" t="str">
        <f>' VV - Example'!E64</f>
        <v>SV</v>
      </c>
      <c r="E64" s="118"/>
      <c r="F64" s="307">
        <f>' VV - Example'!G64</f>
        <v>3.58</v>
      </c>
      <c r="G64" s="118"/>
      <c r="H64" s="4" t="str">
        <f>' VV - Example'!I64</f>
        <v>211001A000</v>
      </c>
      <c r="I64" s="245">
        <f>' VV - Example'!J64</f>
        <v>0</v>
      </c>
    </row>
    <row r="65" spans="1:9" x14ac:dyDescent="0.2">
      <c r="A65" s="108">
        <f>' VV - Example'!A65</f>
        <v>32</v>
      </c>
      <c r="B65" s="4" t="str">
        <f>' VV - Example'!C65</f>
        <v>D</v>
      </c>
      <c r="C65" s="4" t="str">
        <f>' VV - Example'!D65</f>
        <v>2300</v>
      </c>
      <c r="D65" s="4" t="str">
        <f>' VV - Example'!E65</f>
        <v>RV</v>
      </c>
      <c r="E65" s="118"/>
      <c r="F65" s="307">
        <f>' VV - Example'!G65</f>
        <v>3.58</v>
      </c>
      <c r="G65" s="118"/>
      <c r="H65" s="4" t="str">
        <f>' VV - Example'!I65</f>
        <v>211001A000</v>
      </c>
      <c r="I65" s="245">
        <f>' VV - Example'!J65</f>
        <v>0</v>
      </c>
    </row>
    <row r="66" spans="1:9" x14ac:dyDescent="0.2">
      <c r="A66" s="108">
        <f>' VV - Example'!A66</f>
        <v>33</v>
      </c>
      <c r="B66" s="4" t="str">
        <f>' VV - Example'!C66</f>
        <v>D</v>
      </c>
      <c r="C66" s="4" t="str">
        <f>' VV - Example'!D66</f>
        <v>2300</v>
      </c>
      <c r="D66" s="4" t="str">
        <f>' VV - Example'!E66</f>
        <v>FC</v>
      </c>
      <c r="E66" s="118"/>
      <c r="F66" s="307">
        <f>' VV - Example'!G66</f>
        <v>0</v>
      </c>
      <c r="G66" s="118"/>
      <c r="H66" s="4" t="str">
        <f>' VV - Example'!I66</f>
        <v>211001A000</v>
      </c>
      <c r="I66" s="245">
        <f>' VV - Example'!J66</f>
        <v>0</v>
      </c>
    </row>
    <row r="67" spans="1:9" x14ac:dyDescent="0.2">
      <c r="A67" s="108">
        <f>' VV - Example'!A67</f>
        <v>34</v>
      </c>
      <c r="B67" s="4" t="str">
        <f>' VV - Example'!C67</f>
        <v>D</v>
      </c>
      <c r="C67" s="4" t="str">
        <f>' VV - Example'!D67</f>
        <v>2300</v>
      </c>
      <c r="D67" s="4" t="str">
        <f>' VV - Example'!E67</f>
        <v>WH</v>
      </c>
      <c r="E67" s="118"/>
      <c r="F67" s="307">
        <f>' VV - Example'!G67</f>
        <v>3.58</v>
      </c>
      <c r="G67" s="118"/>
      <c r="H67" s="4" t="str">
        <f>' VV - Example'!I67</f>
        <v>211001A000</v>
      </c>
      <c r="I67" s="245">
        <f>' VV - Example'!J67</f>
        <v>0</v>
      </c>
    </row>
    <row r="68" spans="1:9" x14ac:dyDescent="0.2">
      <c r="A68" s="108">
        <f>' VV - Example'!A68</f>
        <v>35</v>
      </c>
      <c r="B68" s="4" t="str">
        <f>' VV - Example'!C68</f>
        <v>D</v>
      </c>
      <c r="C68" s="4" t="str">
        <f>' VV - Example'!D68</f>
        <v>2300</v>
      </c>
      <c r="D68" s="4" t="str">
        <f>' VV - Example'!E68</f>
        <v>SADJ</v>
      </c>
      <c r="E68" s="118"/>
      <c r="F68" s="307"/>
      <c r="G68" s="118">
        <f>' VV - Example'!H68</f>
        <v>0</v>
      </c>
      <c r="H68" s="4" t="str">
        <f>' VV - Example'!I68</f>
        <v>211001A000</v>
      </c>
      <c r="I68" s="245">
        <f>' VV - Example'!J68</f>
        <v>0</v>
      </c>
    </row>
    <row r="69" spans="1:9" x14ac:dyDescent="0.2">
      <c r="A69" s="108">
        <f>' VV - Example'!A69</f>
        <v>36</v>
      </c>
      <c r="B69" s="4" t="str">
        <f>' VV - Example'!C69</f>
        <v>D</v>
      </c>
      <c r="C69" s="4" t="str">
        <f>' VV - Example'!D69</f>
        <v>2300</v>
      </c>
      <c r="D69" s="4" t="str">
        <f>' VV - Example'!E69</f>
        <v>TV</v>
      </c>
      <c r="E69" s="118"/>
      <c r="F69" s="307"/>
      <c r="G69" s="118">
        <f>' VV - Example'!H69</f>
        <v>6754.35</v>
      </c>
      <c r="H69" s="4" t="str">
        <f>' VV - Example'!I69</f>
        <v>211001A000</v>
      </c>
      <c r="I69" s="245">
        <f>' VV - Example'!J69</f>
        <v>0</v>
      </c>
    </row>
    <row r="70" spans="1:9" x14ac:dyDescent="0.2">
      <c r="A70" s="108">
        <f>' VV - Example'!A70</f>
        <v>37</v>
      </c>
      <c r="B70" s="4" t="str">
        <f>' VV - Example'!C70</f>
        <v>D</v>
      </c>
      <c r="C70" s="4" t="str">
        <f>' VV - Example'!D70</f>
        <v>2300</v>
      </c>
      <c r="D70" s="4" t="str">
        <f>' VV - Example'!E70</f>
        <v>RYE</v>
      </c>
      <c r="E70" s="118"/>
      <c r="F70" s="307"/>
      <c r="G70" s="118">
        <f>' VV - Example'!H70</f>
        <v>844.31</v>
      </c>
      <c r="H70" s="4" t="str">
        <f>' VV - Example'!I70</f>
        <v>211001A000</v>
      </c>
      <c r="I70" s="245">
        <f>' VV - Example'!J70</f>
        <v>0</v>
      </c>
    </row>
    <row r="71" spans="1:9" x14ac:dyDescent="0.2">
      <c r="A71" s="108">
        <f>' VV - Example'!A71</f>
        <v>38</v>
      </c>
      <c r="B71" s="4" t="str">
        <f>' VV - Example'!C71</f>
        <v>D</v>
      </c>
      <c r="C71" s="4" t="str">
        <f>' VV - Example'!D71</f>
        <v>2300</v>
      </c>
      <c r="D71" s="4" t="str">
        <f>' VV - Example'!E71</f>
        <v>BOER</v>
      </c>
      <c r="E71" s="118"/>
      <c r="F71" s="307"/>
      <c r="G71" s="118"/>
      <c r="H71" s="4" t="str">
        <f>' VV - Example'!I71</f>
        <v>211001A000</v>
      </c>
      <c r="I71" s="135">
        <f>' VV - Example'!J71</f>
        <v>6</v>
      </c>
    </row>
    <row r="72" spans="1:9" x14ac:dyDescent="0.2">
      <c r="A72" s="108">
        <f>' VV - Example'!A72</f>
        <v>39</v>
      </c>
      <c r="B72" s="4" t="str">
        <f>' VV - Example'!C72</f>
        <v>D</v>
      </c>
      <c r="C72" s="4" t="str">
        <f>' VV - Example'!D72</f>
        <v>0300</v>
      </c>
      <c r="D72" s="4" t="str">
        <f>' VV - Example'!E72</f>
        <v>WIOB</v>
      </c>
      <c r="E72" s="118">
        <f>' VV - Example'!F72</f>
        <v>314.44833333333332</v>
      </c>
      <c r="F72" s="307"/>
      <c r="G72" s="118"/>
      <c r="H72" s="4" t="str">
        <f>' VV - Example'!I72</f>
        <v>211001A000</v>
      </c>
      <c r="I72" s="245">
        <f>' VV - Example'!J72</f>
        <v>0</v>
      </c>
    </row>
    <row r="73" spans="1:9" x14ac:dyDescent="0.2">
      <c r="A73" s="108">
        <f>' VV - Example'!A73</f>
        <v>40</v>
      </c>
      <c r="B73" s="4" t="str">
        <f>' VV - Example'!C73</f>
        <v>D</v>
      </c>
      <c r="C73" s="4" t="str">
        <f>' VV - Example'!D73</f>
        <v>2300</v>
      </c>
      <c r="D73" s="4" t="str">
        <f>' VV - Example'!E73</f>
        <v>ACR</v>
      </c>
      <c r="E73" s="118"/>
      <c r="F73" s="307">
        <f>' VV - Example'!G73</f>
        <v>0.19839999999999999</v>
      </c>
      <c r="G73" s="118"/>
      <c r="H73" s="4" t="str">
        <f>' VV - Example'!I73</f>
        <v>211001A000</v>
      </c>
      <c r="I73" s="245">
        <f>' VV - Example'!J73</f>
        <v>0</v>
      </c>
    </row>
    <row r="74" spans="1:9" x14ac:dyDescent="0.2">
      <c r="A74" s="108">
        <f>' VV - Example'!A74</f>
        <v>41</v>
      </c>
      <c r="B74" s="4" t="str">
        <f>' VV - Example'!C74</f>
        <v>D</v>
      </c>
      <c r="C74" s="4" t="str">
        <f>' VV - Example'!D74</f>
        <v>2300</v>
      </c>
      <c r="D74" s="4" t="str">
        <f>' VV - Example'!E74</f>
        <v>AC</v>
      </c>
      <c r="E74" s="118"/>
      <c r="F74" s="307"/>
      <c r="G74" s="118">
        <f>' VV - Example'!H74</f>
        <v>62.39</v>
      </c>
      <c r="H74" s="4" t="str">
        <f>' VV - Example'!I74</f>
        <v>211001A000</v>
      </c>
      <c r="I74" s="245">
        <f>' VV - Example'!J74</f>
        <v>0</v>
      </c>
    </row>
    <row r="75" spans="1:9" x14ac:dyDescent="0.2">
      <c r="A75" s="108"/>
      <c r="B75" s="4"/>
      <c r="C75" s="4"/>
      <c r="D75" s="4"/>
      <c r="E75" s="118"/>
      <c r="F75" s="117"/>
      <c r="G75" s="118"/>
      <c r="H75" s="4"/>
      <c r="I75" s="4"/>
    </row>
    <row r="76" spans="1:9" x14ac:dyDescent="0.2">
      <c r="A76" s="108"/>
      <c r="B76" s="4"/>
      <c r="C76" s="4"/>
      <c r="D76" s="4"/>
      <c r="E76" s="118"/>
      <c r="F76" s="117"/>
      <c r="G76" s="118"/>
      <c r="H76" s="4"/>
      <c r="I76" s="4"/>
    </row>
    <row r="77" spans="1:9" x14ac:dyDescent="0.2">
      <c r="A77" s="108"/>
      <c r="B77" s="4"/>
      <c r="C77" s="4"/>
      <c r="D77" s="4"/>
      <c r="E77" s="118"/>
      <c r="F77" s="117"/>
      <c r="G77" s="118"/>
      <c r="H77" s="4"/>
      <c r="I77" s="4"/>
    </row>
    <row r="78" spans="1:9" x14ac:dyDescent="0.2">
      <c r="A78" s="108"/>
      <c r="B78" s="4"/>
      <c r="C78" s="4"/>
      <c r="D78" s="4"/>
      <c r="E78" s="118"/>
      <c r="F78" s="117"/>
      <c r="G78" s="118"/>
      <c r="H78" s="4"/>
      <c r="I78" s="135"/>
    </row>
    <row r="79" spans="1:9" x14ac:dyDescent="0.2">
      <c r="A79" s="108"/>
      <c r="B79" s="4"/>
      <c r="C79" s="4"/>
      <c r="D79" s="4"/>
      <c r="E79" s="118"/>
      <c r="F79" s="117"/>
      <c r="G79" s="118"/>
      <c r="H79" s="4"/>
      <c r="I79" s="4"/>
    </row>
    <row r="80" spans="1:9" x14ac:dyDescent="0.2">
      <c r="A80" s="108"/>
      <c r="B80" s="4"/>
      <c r="C80" s="4"/>
      <c r="D80" s="4"/>
      <c r="E80" s="118"/>
      <c r="F80" s="117"/>
      <c r="G80" s="118"/>
      <c r="H80" s="4"/>
      <c r="I80" s="4"/>
    </row>
    <row r="81" spans="1:9" x14ac:dyDescent="0.2">
      <c r="A81" s="108"/>
      <c r="B81" s="4"/>
      <c r="C81" s="4"/>
      <c r="D81" s="4"/>
      <c r="E81" s="118"/>
      <c r="F81" s="117"/>
      <c r="G81" s="118"/>
      <c r="H81" s="4"/>
      <c r="I81" s="4"/>
    </row>
  </sheetData>
  <sheetProtection selectLockedCells="1"/>
  <phoneticPr fontId="2" type="noConversion"/>
  <conditionalFormatting sqref="A34:A81">
    <cfRule type="cellIs" dxfId="6" priority="1" stopIfTrue="1" operator="equal">
      <formula>"A32"</formula>
    </cfRule>
  </conditionalFormatting>
  <printOptions gridLines="1"/>
  <pageMargins left="0.75" right="0.75" top="1" bottom="1" header="0.5" footer="0.5"/>
  <pageSetup scale="77" orientation="portrait" r:id="rId1"/>
  <headerFooter alignWithMargins="0"/>
  <ignoredErrors>
    <ignoredError sqref="F2:F32 A34:I34 A35:A37 F35:G37 B35:E37 B71:G74 A38:G38 A40:A74 A39:G39 B40:G40 B41:G70 H71:I74 H35:I7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topLeftCell="A31" zoomScaleNormal="100" workbookViewId="0">
      <selection activeCell="H69" sqref="H69"/>
    </sheetView>
  </sheetViews>
  <sheetFormatPr defaultRowHeight="11.25" x14ac:dyDescent="0.2"/>
  <cols>
    <col min="1" max="1" width="4.7109375" style="72" customWidth="1"/>
    <col min="2" max="2" width="0.85546875" style="72" customWidth="1"/>
    <col min="3" max="3" width="9.28515625" style="72" customWidth="1"/>
    <col min="4" max="4" width="10.85546875" style="72" customWidth="1"/>
    <col min="5" max="5" width="11.140625" style="72" bestFit="1" customWidth="1"/>
    <col min="6" max="6" width="9.85546875" style="72" bestFit="1" customWidth="1"/>
    <col min="7" max="7" width="16.140625" style="73" customWidth="1"/>
    <col min="8" max="8" width="12.85546875" style="101" customWidth="1"/>
    <col min="9" max="9" width="11.85546875" style="101" customWidth="1"/>
    <col min="10" max="10" width="13.42578125" style="101" customWidth="1"/>
    <col min="11" max="11" width="40" style="252" customWidth="1"/>
    <col min="12" max="12" width="22.28515625" style="252" bestFit="1" customWidth="1"/>
    <col min="13" max="16384" width="9.140625" style="252"/>
  </cols>
  <sheetData>
    <row r="1" spans="1:17" ht="37.5" customHeight="1" x14ac:dyDescent="0.2">
      <c r="A1" s="13" t="s">
        <v>468</v>
      </c>
      <c r="B1" s="52"/>
      <c r="C1" s="251"/>
      <c r="D1" s="52"/>
      <c r="E1" s="52"/>
      <c r="F1" s="52"/>
      <c r="G1" s="53"/>
      <c r="H1" s="52" t="s">
        <v>426</v>
      </c>
      <c r="I1" s="52"/>
      <c r="J1" s="52"/>
    </row>
    <row r="2" spans="1:17" x14ac:dyDescent="0.2">
      <c r="A2" s="19" t="s">
        <v>39</v>
      </c>
      <c r="B2" s="29"/>
      <c r="C2" s="31"/>
      <c r="D2" s="31" t="s">
        <v>300</v>
      </c>
      <c r="E2" s="31"/>
      <c r="F2" s="31"/>
      <c r="G2" s="353" t="s">
        <v>35</v>
      </c>
      <c r="H2" s="30"/>
      <c r="I2" s="31"/>
      <c r="J2" s="31"/>
      <c r="K2" s="54"/>
      <c r="L2" s="54"/>
    </row>
    <row r="3" spans="1:17" ht="13.5" customHeight="1" x14ac:dyDescent="0.2">
      <c r="A3" s="29" t="s">
        <v>33</v>
      </c>
      <c r="B3" s="29"/>
      <c r="C3" s="31"/>
      <c r="D3" s="31" t="s">
        <v>301</v>
      </c>
      <c r="E3" s="31"/>
      <c r="F3" s="31"/>
      <c r="G3" s="353" t="s">
        <v>36</v>
      </c>
      <c r="H3" s="30"/>
      <c r="I3" s="91"/>
      <c r="J3" s="91"/>
      <c r="K3" s="54"/>
      <c r="L3" s="54"/>
    </row>
    <row r="4" spans="1:17" x14ac:dyDescent="0.2">
      <c r="A4" s="32" t="s">
        <v>40</v>
      </c>
      <c r="B4" s="32"/>
      <c r="C4" s="35"/>
      <c r="D4" s="31"/>
      <c r="E4" s="35"/>
      <c r="F4" s="35"/>
      <c r="G4" s="353" t="s">
        <v>251</v>
      </c>
      <c r="H4" s="35"/>
      <c r="I4" s="35"/>
      <c r="J4" s="35"/>
      <c r="K4" s="54"/>
      <c r="L4" s="54"/>
    </row>
    <row r="5" spans="1:17" s="254" customFormat="1" x14ac:dyDescent="0.2">
      <c r="A5" s="29" t="s">
        <v>14</v>
      </c>
      <c r="B5" s="29"/>
      <c r="C5" s="31"/>
      <c r="D5" s="31"/>
      <c r="E5" s="31"/>
      <c r="F5" s="31"/>
      <c r="G5" s="354" t="s">
        <v>373</v>
      </c>
      <c r="H5" s="30"/>
      <c r="I5" s="31"/>
      <c r="J5" s="31"/>
      <c r="K5" s="56"/>
      <c r="L5" s="56"/>
      <c r="M5" s="253"/>
      <c r="N5" s="253"/>
      <c r="O5" s="253"/>
      <c r="P5" s="253"/>
      <c r="Q5" s="253"/>
    </row>
    <row r="6" spans="1:17" s="255" customFormat="1" x14ac:dyDescent="0.2">
      <c r="A6" s="29" t="s">
        <v>26</v>
      </c>
      <c r="B6" s="29"/>
      <c r="C6" s="31"/>
      <c r="D6" s="31"/>
      <c r="E6" s="31"/>
      <c r="F6" s="31"/>
      <c r="G6" s="353" t="s">
        <v>184</v>
      </c>
      <c r="H6" s="30"/>
      <c r="I6" s="31"/>
      <c r="J6" s="92"/>
      <c r="K6" s="54"/>
      <c r="L6" s="54"/>
      <c r="M6" s="252"/>
      <c r="N6" s="252"/>
      <c r="O6" s="252"/>
      <c r="P6" s="252"/>
      <c r="Q6" s="252"/>
    </row>
    <row r="7" spans="1:17" x14ac:dyDescent="0.2">
      <c r="A7" s="29" t="s">
        <v>15</v>
      </c>
      <c r="B7" s="29"/>
      <c r="C7" s="31"/>
      <c r="D7" s="31"/>
      <c r="E7" s="31"/>
      <c r="F7" s="31"/>
      <c r="G7" s="355">
        <v>41640</v>
      </c>
      <c r="H7" s="30"/>
      <c r="I7" s="31"/>
      <c r="J7" s="31"/>
      <c r="K7" s="54"/>
      <c r="L7" s="54"/>
    </row>
    <row r="8" spans="1:17" x14ac:dyDescent="0.2">
      <c r="A8" s="29" t="s">
        <v>17</v>
      </c>
      <c r="B8" s="29"/>
      <c r="C8" s="31"/>
      <c r="D8" s="31"/>
      <c r="E8" s="31"/>
      <c r="F8" s="31"/>
      <c r="G8" s="354" t="s">
        <v>450</v>
      </c>
      <c r="H8" s="30"/>
      <c r="I8" s="31"/>
      <c r="J8" s="31"/>
      <c r="K8" s="54"/>
      <c r="L8" s="54"/>
    </row>
    <row r="9" spans="1:17" x14ac:dyDescent="0.2">
      <c r="A9" s="29" t="s">
        <v>5</v>
      </c>
      <c r="B9" s="29"/>
      <c r="C9" s="31"/>
      <c r="D9" s="31"/>
      <c r="E9" s="31"/>
      <c r="F9" s="31"/>
      <c r="G9" s="355">
        <v>41699</v>
      </c>
      <c r="H9" s="30"/>
      <c r="I9" s="31"/>
      <c r="J9" s="31"/>
      <c r="K9" s="54"/>
      <c r="L9" s="54"/>
    </row>
    <row r="10" spans="1:17" x14ac:dyDescent="0.2">
      <c r="A10" s="29" t="s">
        <v>16</v>
      </c>
      <c r="B10" s="29"/>
      <c r="C10" s="31"/>
      <c r="D10" s="31"/>
      <c r="E10" s="31"/>
      <c r="F10" s="31"/>
      <c r="G10" s="353" t="s">
        <v>463</v>
      </c>
      <c r="H10" s="30"/>
      <c r="I10" s="31"/>
      <c r="J10" s="31"/>
      <c r="K10" s="54"/>
      <c r="L10" s="54"/>
    </row>
    <row r="11" spans="1:17" x14ac:dyDescent="0.2">
      <c r="A11" s="29" t="s">
        <v>13</v>
      </c>
      <c r="B11" s="29"/>
      <c r="C11" s="31"/>
      <c r="D11" s="31"/>
      <c r="E11" s="31"/>
      <c r="F11" s="31"/>
      <c r="G11" s="356">
        <v>41729</v>
      </c>
      <c r="H11" s="31"/>
      <c r="I11" s="31"/>
      <c r="J11" s="31"/>
      <c r="K11" s="54"/>
      <c r="L11" s="54"/>
    </row>
    <row r="12" spans="1:17" x14ac:dyDescent="0.2">
      <c r="A12" s="29" t="s">
        <v>7</v>
      </c>
      <c r="B12" s="29"/>
      <c r="C12" s="31"/>
      <c r="D12" s="31"/>
      <c r="E12" s="31"/>
      <c r="F12" s="31"/>
      <c r="G12" s="353" t="s">
        <v>252</v>
      </c>
      <c r="H12" s="30"/>
      <c r="I12" s="31"/>
      <c r="J12" s="31"/>
      <c r="K12" s="54"/>
      <c r="L12" s="54"/>
    </row>
    <row r="13" spans="1:17" x14ac:dyDescent="0.2">
      <c r="A13" s="29"/>
      <c r="B13" s="29"/>
      <c r="C13" s="31"/>
      <c r="D13" s="31"/>
      <c r="E13" s="31"/>
      <c r="F13" s="31"/>
      <c r="G13" s="92"/>
      <c r="H13" s="30"/>
      <c r="I13" s="31"/>
      <c r="J13" s="31"/>
      <c r="K13" s="54"/>
      <c r="L13" s="54"/>
    </row>
    <row r="14" spans="1:17" x14ac:dyDescent="0.2">
      <c r="A14" s="29"/>
      <c r="B14" s="29"/>
      <c r="C14" s="31"/>
      <c r="D14" s="31"/>
      <c r="E14" s="31"/>
      <c r="F14" s="31"/>
      <c r="G14" s="92"/>
      <c r="H14" s="30"/>
      <c r="I14" s="31"/>
      <c r="J14" s="31"/>
      <c r="K14" s="54"/>
      <c r="L14" s="54"/>
    </row>
    <row r="15" spans="1:17" s="255" customFormat="1" ht="12" customHeight="1" x14ac:dyDescent="0.2">
      <c r="A15" s="57"/>
      <c r="B15" s="29"/>
      <c r="C15" s="31"/>
      <c r="D15" s="31"/>
      <c r="E15" s="31"/>
      <c r="F15" s="31"/>
      <c r="G15" s="92"/>
      <c r="H15" s="30"/>
      <c r="I15" s="31"/>
      <c r="J15" s="31"/>
      <c r="K15" s="54"/>
      <c r="L15" s="54"/>
      <c r="M15" s="252"/>
      <c r="N15" s="252"/>
      <c r="O15" s="252"/>
      <c r="P15" s="252"/>
      <c r="Q15" s="252"/>
    </row>
    <row r="16" spans="1:17" x14ac:dyDescent="0.2">
      <c r="A16" s="29"/>
      <c r="B16" s="29"/>
      <c r="C16" s="31"/>
      <c r="D16" s="31"/>
      <c r="E16" s="31"/>
      <c r="F16" s="31"/>
      <c r="G16" s="92"/>
      <c r="H16" s="30"/>
      <c r="I16" s="31"/>
      <c r="J16" s="31"/>
      <c r="K16" s="54"/>
      <c r="L16" s="54"/>
    </row>
    <row r="17" spans="1:12" x14ac:dyDescent="0.2">
      <c r="A17" s="29"/>
      <c r="B17" s="29"/>
      <c r="C17" s="31"/>
      <c r="D17" s="31"/>
      <c r="E17" s="31"/>
      <c r="F17" s="31"/>
      <c r="G17" s="92"/>
      <c r="H17" s="30"/>
      <c r="I17" s="31"/>
      <c r="J17" s="31"/>
      <c r="K17" s="54"/>
      <c r="L17" s="54"/>
    </row>
    <row r="18" spans="1:12" x14ac:dyDescent="0.2">
      <c r="A18" s="29"/>
      <c r="B18" s="29"/>
      <c r="C18" s="31"/>
      <c r="D18" s="31"/>
      <c r="E18" s="31"/>
      <c r="F18" s="31"/>
      <c r="G18" s="92"/>
      <c r="H18" s="93"/>
      <c r="I18" s="93"/>
      <c r="J18" s="93"/>
      <c r="K18" s="54"/>
      <c r="L18" s="54"/>
    </row>
    <row r="19" spans="1:12" x14ac:dyDescent="0.2">
      <c r="A19" s="29" t="s">
        <v>22</v>
      </c>
      <c r="B19" s="29"/>
      <c r="C19" s="31"/>
      <c r="D19" s="31"/>
      <c r="E19" s="31"/>
      <c r="F19" s="31"/>
      <c r="G19" s="353" t="s">
        <v>253</v>
      </c>
      <c r="H19" s="31"/>
      <c r="I19" s="31"/>
      <c r="J19" s="31"/>
      <c r="K19" s="54"/>
      <c r="L19" s="54"/>
    </row>
    <row r="20" spans="1:12" x14ac:dyDescent="0.2">
      <c r="A20" s="29" t="s">
        <v>27</v>
      </c>
      <c r="B20" s="29"/>
      <c r="C20" s="31"/>
      <c r="D20" s="31"/>
      <c r="E20" s="31"/>
      <c r="F20" s="31"/>
      <c r="G20" s="353" t="s">
        <v>254</v>
      </c>
      <c r="H20" s="31"/>
      <c r="I20" s="31"/>
      <c r="J20" s="31"/>
      <c r="K20" s="54"/>
      <c r="L20" s="54"/>
    </row>
    <row r="21" spans="1:12" x14ac:dyDescent="0.2">
      <c r="A21" s="29" t="s">
        <v>0</v>
      </c>
      <c r="B21" s="29"/>
      <c r="C21" s="31"/>
      <c r="D21" s="31"/>
      <c r="E21" s="31"/>
      <c r="F21" s="31"/>
      <c r="G21" s="353" t="s">
        <v>254</v>
      </c>
      <c r="H21" s="31"/>
      <c r="I21" s="31"/>
      <c r="J21" s="31"/>
      <c r="K21" s="54"/>
      <c r="L21" s="54"/>
    </row>
    <row r="22" spans="1:12" x14ac:dyDescent="0.2">
      <c r="A22" s="29" t="s">
        <v>1</v>
      </c>
      <c r="B22" s="29"/>
      <c r="C22" s="31"/>
      <c r="D22" s="31"/>
      <c r="E22" s="31"/>
      <c r="F22" s="31"/>
      <c r="G22" s="353" t="s">
        <v>254</v>
      </c>
      <c r="H22" s="31"/>
      <c r="I22" s="31"/>
      <c r="J22" s="31"/>
      <c r="K22" s="54"/>
      <c r="L22" s="54"/>
    </row>
    <row r="23" spans="1:12" x14ac:dyDescent="0.2">
      <c r="A23" s="29" t="s">
        <v>2</v>
      </c>
      <c r="B23" s="29"/>
      <c r="C23" s="31"/>
      <c r="D23" s="31"/>
      <c r="E23" s="31"/>
      <c r="F23" s="31"/>
      <c r="G23" s="353" t="s">
        <v>254</v>
      </c>
      <c r="H23" s="31"/>
      <c r="I23" s="31"/>
      <c r="J23" s="31"/>
      <c r="K23" s="54"/>
      <c r="L23" s="54"/>
    </row>
    <row r="24" spans="1:12" x14ac:dyDescent="0.2">
      <c r="A24" s="29" t="s">
        <v>3</v>
      </c>
      <c r="B24" s="29"/>
      <c r="C24" s="31"/>
      <c r="D24" s="31"/>
      <c r="E24" s="31"/>
      <c r="F24" s="31"/>
      <c r="G24" s="353" t="s">
        <v>254</v>
      </c>
      <c r="H24" s="31"/>
      <c r="I24" s="31"/>
      <c r="J24" s="31"/>
      <c r="K24" s="54"/>
      <c r="L24" s="54"/>
    </row>
    <row r="25" spans="1:12" x14ac:dyDescent="0.2">
      <c r="A25" s="29" t="s">
        <v>4</v>
      </c>
      <c r="B25" s="29"/>
      <c r="C25" s="31"/>
      <c r="D25" s="31"/>
      <c r="E25" s="31"/>
      <c r="F25" s="31"/>
      <c r="G25" s="353" t="s">
        <v>254</v>
      </c>
      <c r="H25" s="31"/>
      <c r="I25" s="31"/>
      <c r="J25" s="31"/>
      <c r="K25" s="54"/>
      <c r="L25" s="54"/>
    </row>
    <row r="26" spans="1:12" x14ac:dyDescent="0.2">
      <c r="A26" s="29" t="s">
        <v>6</v>
      </c>
      <c r="B26" s="29"/>
      <c r="C26" s="31"/>
      <c r="D26" s="31"/>
      <c r="E26" s="31"/>
      <c r="F26" s="31"/>
      <c r="G26" s="353" t="s">
        <v>254</v>
      </c>
      <c r="H26" s="31"/>
      <c r="I26" s="31"/>
      <c r="J26" s="31"/>
      <c r="K26" s="54"/>
      <c r="L26" s="54"/>
    </row>
    <row r="27" spans="1:12" x14ac:dyDescent="0.2">
      <c r="A27" s="29" t="s">
        <v>8</v>
      </c>
      <c r="B27" s="29"/>
      <c r="C27" s="31"/>
      <c r="D27" s="31"/>
      <c r="E27" s="31"/>
      <c r="F27" s="31"/>
      <c r="G27" s="353" t="s">
        <v>254</v>
      </c>
      <c r="H27" s="31"/>
      <c r="I27" s="31"/>
      <c r="J27" s="31"/>
      <c r="K27" s="54"/>
      <c r="L27" s="54"/>
    </row>
    <row r="28" spans="1:12" x14ac:dyDescent="0.2">
      <c r="A28" s="29" t="s">
        <v>9</v>
      </c>
      <c r="B28" s="29"/>
      <c r="C28" s="31"/>
      <c r="D28" s="31"/>
      <c r="E28" s="31"/>
      <c r="F28" s="31"/>
      <c r="G28" s="353" t="s">
        <v>254</v>
      </c>
      <c r="H28" s="31"/>
      <c r="I28" s="31"/>
      <c r="J28" s="31"/>
      <c r="K28" s="54"/>
      <c r="L28" s="54"/>
    </row>
    <row r="29" spans="1:12" x14ac:dyDescent="0.2">
      <c r="A29" s="29" t="s">
        <v>12</v>
      </c>
      <c r="B29" s="29"/>
      <c r="C29" s="31"/>
      <c r="D29" s="31"/>
      <c r="E29" s="31"/>
      <c r="F29" s="31"/>
      <c r="G29" s="353" t="s">
        <v>254</v>
      </c>
      <c r="H29" s="31"/>
      <c r="I29" s="31"/>
      <c r="J29" s="31"/>
      <c r="K29" s="54"/>
      <c r="L29" s="54"/>
    </row>
    <row r="30" spans="1:12" x14ac:dyDescent="0.2">
      <c r="A30" s="29" t="s">
        <v>18</v>
      </c>
      <c r="B30" s="29"/>
      <c r="C30" s="31"/>
      <c r="D30" s="31"/>
      <c r="E30" s="31"/>
      <c r="F30" s="31"/>
      <c r="G30" s="353" t="s">
        <v>254</v>
      </c>
      <c r="H30" s="31"/>
      <c r="I30" s="31"/>
      <c r="J30" s="31"/>
      <c r="K30" s="54"/>
      <c r="L30" s="54"/>
    </row>
    <row r="31" spans="1:12" x14ac:dyDescent="0.2">
      <c r="A31" s="29" t="s">
        <v>10</v>
      </c>
      <c r="B31" s="29"/>
      <c r="C31" s="31"/>
      <c r="D31" s="31"/>
      <c r="E31" s="31"/>
      <c r="F31" s="31"/>
      <c r="G31" s="353" t="s">
        <v>254</v>
      </c>
      <c r="H31" s="31"/>
      <c r="I31" s="31"/>
      <c r="J31" s="31"/>
      <c r="K31" s="54"/>
      <c r="L31" s="54"/>
    </row>
    <row r="32" spans="1:12" x14ac:dyDescent="0.2">
      <c r="A32" s="29" t="s">
        <v>11</v>
      </c>
      <c r="B32" s="29"/>
      <c r="C32" s="31"/>
      <c r="D32" s="31"/>
      <c r="E32" s="31"/>
      <c r="F32" s="31"/>
      <c r="G32" s="353" t="s">
        <v>254</v>
      </c>
      <c r="H32" s="31"/>
      <c r="I32" s="31"/>
      <c r="J32" s="31"/>
      <c r="K32" s="54"/>
      <c r="L32" s="54"/>
    </row>
    <row r="33" spans="1:12" customFormat="1" ht="22.5" x14ac:dyDescent="0.2">
      <c r="A33" s="58" t="s">
        <v>19</v>
      </c>
      <c r="B33" s="58"/>
      <c r="C33" s="58" t="s">
        <v>28</v>
      </c>
      <c r="D33" s="58" t="s">
        <v>29</v>
      </c>
      <c r="E33" s="58" t="s">
        <v>20</v>
      </c>
      <c r="F33" s="58" t="s">
        <v>30</v>
      </c>
      <c r="G33" s="58" t="s">
        <v>31</v>
      </c>
      <c r="H33" s="58" t="s">
        <v>21</v>
      </c>
      <c r="I33" s="58" t="s">
        <v>32</v>
      </c>
      <c r="J33" s="58" t="s">
        <v>255</v>
      </c>
      <c r="K33" s="58" t="s">
        <v>68</v>
      </c>
      <c r="L33" s="58" t="s">
        <v>374</v>
      </c>
    </row>
    <row r="34" spans="1:12" x14ac:dyDescent="0.2">
      <c r="A34" s="59">
        <v>1</v>
      </c>
      <c r="B34" s="68"/>
      <c r="C34" s="68" t="s">
        <v>256</v>
      </c>
      <c r="D34" s="94" t="s">
        <v>257</v>
      </c>
      <c r="E34" s="68" t="s">
        <v>258</v>
      </c>
      <c r="F34" s="115">
        <v>800000.12</v>
      </c>
      <c r="G34" s="147"/>
      <c r="H34" s="115"/>
      <c r="I34" s="95" t="s">
        <v>259</v>
      </c>
      <c r="J34" s="61">
        <v>0</v>
      </c>
      <c r="K34" s="358" t="s">
        <v>260</v>
      </c>
      <c r="L34" s="357"/>
    </row>
    <row r="35" spans="1:12" x14ac:dyDescent="0.2">
      <c r="A35" s="59">
        <f>+A34+1</f>
        <v>2</v>
      </c>
      <c r="B35" s="68"/>
      <c r="C35" s="68" t="s">
        <v>256</v>
      </c>
      <c r="D35" s="94" t="s">
        <v>257</v>
      </c>
      <c r="E35" s="71" t="s">
        <v>443</v>
      </c>
      <c r="F35" s="115">
        <v>80000.012000000002</v>
      </c>
      <c r="G35" s="147"/>
      <c r="H35" s="115"/>
      <c r="I35" s="95" t="s">
        <v>259</v>
      </c>
      <c r="J35" s="303">
        <v>0</v>
      </c>
      <c r="K35" s="358" t="s">
        <v>444</v>
      </c>
      <c r="L35" s="357"/>
    </row>
    <row r="36" spans="1:12" x14ac:dyDescent="0.2">
      <c r="A36" s="59">
        <f>+A35+1</f>
        <v>3</v>
      </c>
      <c r="B36" s="68"/>
      <c r="C36" s="68" t="s">
        <v>256</v>
      </c>
      <c r="D36" s="94" t="s">
        <v>257</v>
      </c>
      <c r="E36" s="71" t="s">
        <v>445</v>
      </c>
      <c r="F36" s="116">
        <f>F34-F35</f>
        <v>720000.10800000001</v>
      </c>
      <c r="G36" s="147"/>
      <c r="H36" s="115"/>
      <c r="I36" s="95" t="s">
        <v>259</v>
      </c>
      <c r="J36" s="303">
        <v>0</v>
      </c>
      <c r="K36" s="358" t="s">
        <v>446</v>
      </c>
      <c r="L36" s="357"/>
    </row>
    <row r="37" spans="1:12" x14ac:dyDescent="0.2">
      <c r="A37" s="59">
        <f t="shared" ref="A37:A48" si="0">+A36+1</f>
        <v>4</v>
      </c>
      <c r="B37" s="68"/>
      <c r="C37" s="68" t="s">
        <v>256</v>
      </c>
      <c r="D37" s="94" t="s">
        <v>261</v>
      </c>
      <c r="E37" s="68" t="s">
        <v>262</v>
      </c>
      <c r="F37" s="116">
        <v>90000.013500000001</v>
      </c>
      <c r="G37" s="147"/>
      <c r="H37" s="115"/>
      <c r="I37" s="95" t="s">
        <v>259</v>
      </c>
      <c r="J37" s="61">
        <v>0</v>
      </c>
      <c r="K37" s="358" t="s">
        <v>263</v>
      </c>
      <c r="L37" s="357"/>
    </row>
    <row r="38" spans="1:12" x14ac:dyDescent="0.2">
      <c r="A38" s="59">
        <f t="shared" si="0"/>
        <v>5</v>
      </c>
      <c r="B38" s="68"/>
      <c r="C38" s="68" t="s">
        <v>256</v>
      </c>
      <c r="D38" s="94" t="s">
        <v>261</v>
      </c>
      <c r="E38" s="68" t="s">
        <v>264</v>
      </c>
      <c r="F38" s="116">
        <f>F37-F39</f>
        <v>80000.011499999993</v>
      </c>
      <c r="G38" s="148"/>
      <c r="H38" s="115"/>
      <c r="I38" s="95" t="s">
        <v>259</v>
      </c>
      <c r="J38" s="61">
        <v>0</v>
      </c>
      <c r="K38" s="358" t="s">
        <v>265</v>
      </c>
      <c r="L38" s="357"/>
    </row>
    <row r="39" spans="1:12" x14ac:dyDescent="0.2">
      <c r="A39" s="59">
        <f t="shared" si="0"/>
        <v>6</v>
      </c>
      <c r="B39" s="68"/>
      <c r="C39" s="68" t="s">
        <v>256</v>
      </c>
      <c r="D39" s="94" t="s">
        <v>261</v>
      </c>
      <c r="E39" s="96" t="s">
        <v>266</v>
      </c>
      <c r="F39" s="116">
        <v>10000.002</v>
      </c>
      <c r="G39" s="148"/>
      <c r="H39" s="115"/>
      <c r="I39" s="95" t="s">
        <v>259</v>
      </c>
      <c r="J39" s="61">
        <v>0</v>
      </c>
      <c r="K39" s="358" t="s">
        <v>267</v>
      </c>
      <c r="L39" s="357"/>
    </row>
    <row r="40" spans="1:12" x14ac:dyDescent="0.2">
      <c r="A40" s="59">
        <f t="shared" si="0"/>
        <v>7</v>
      </c>
      <c r="B40" s="68"/>
      <c r="C40" s="60" t="s">
        <v>256</v>
      </c>
      <c r="D40" s="97" t="s">
        <v>261</v>
      </c>
      <c r="E40" s="62" t="s">
        <v>268</v>
      </c>
      <c r="F40" s="116"/>
      <c r="G40" s="148">
        <v>105.44456</v>
      </c>
      <c r="H40" s="115"/>
      <c r="I40" s="95" t="s">
        <v>259</v>
      </c>
      <c r="J40" s="61">
        <v>0</v>
      </c>
      <c r="K40" s="358" t="s">
        <v>269</v>
      </c>
      <c r="L40" s="357"/>
    </row>
    <row r="41" spans="1:12" x14ac:dyDescent="0.2">
      <c r="A41" s="59">
        <f t="shared" si="0"/>
        <v>8</v>
      </c>
      <c r="B41" s="68"/>
      <c r="C41" s="60" t="s">
        <v>256</v>
      </c>
      <c r="D41" s="97" t="s">
        <v>261</v>
      </c>
      <c r="E41" s="62" t="s">
        <v>447</v>
      </c>
      <c r="F41" s="116"/>
      <c r="G41" s="148">
        <v>-0.22234000000000001</v>
      </c>
      <c r="H41" s="115"/>
      <c r="I41" s="95" t="s">
        <v>259</v>
      </c>
      <c r="J41" s="303">
        <v>0</v>
      </c>
      <c r="K41" s="358" t="s">
        <v>448</v>
      </c>
      <c r="L41" s="357"/>
    </row>
    <row r="42" spans="1:12" x14ac:dyDescent="0.2">
      <c r="A42" s="59">
        <f t="shared" si="0"/>
        <v>9</v>
      </c>
      <c r="B42" s="68"/>
      <c r="C42" s="60" t="s">
        <v>256</v>
      </c>
      <c r="D42" s="97" t="s">
        <v>261</v>
      </c>
      <c r="E42" s="62" t="s">
        <v>270</v>
      </c>
      <c r="F42" s="116"/>
      <c r="G42" s="148">
        <v>-4.8678900000000001</v>
      </c>
      <c r="H42" s="115"/>
      <c r="I42" s="95" t="s">
        <v>259</v>
      </c>
      <c r="J42" s="303">
        <v>0</v>
      </c>
      <c r="K42" s="358" t="s">
        <v>271</v>
      </c>
      <c r="L42" s="357"/>
    </row>
    <row r="43" spans="1:12" x14ac:dyDescent="0.2">
      <c r="A43" s="59">
        <f t="shared" si="0"/>
        <v>10</v>
      </c>
      <c r="B43" s="68"/>
      <c r="C43" s="60" t="s">
        <v>256</v>
      </c>
      <c r="D43" s="97" t="s">
        <v>261</v>
      </c>
      <c r="E43" s="62" t="s">
        <v>272</v>
      </c>
      <c r="F43" s="116"/>
      <c r="G43" s="148">
        <v>-0.09</v>
      </c>
      <c r="H43" s="115"/>
      <c r="I43" s="95" t="s">
        <v>259</v>
      </c>
      <c r="J43" s="303">
        <v>0</v>
      </c>
      <c r="K43" s="358" t="s">
        <v>273</v>
      </c>
      <c r="L43" s="357"/>
    </row>
    <row r="44" spans="1:12" x14ac:dyDescent="0.2">
      <c r="A44" s="59">
        <f t="shared" si="0"/>
        <v>11</v>
      </c>
      <c r="B44" s="68"/>
      <c r="C44" s="60" t="s">
        <v>256</v>
      </c>
      <c r="D44" s="97" t="s">
        <v>261</v>
      </c>
      <c r="E44" s="62" t="s">
        <v>274</v>
      </c>
      <c r="F44" s="116"/>
      <c r="G44" s="148">
        <v>-1.19</v>
      </c>
      <c r="H44" s="115"/>
      <c r="I44" s="95" t="s">
        <v>259</v>
      </c>
      <c r="J44" s="303">
        <v>0</v>
      </c>
      <c r="K44" s="358" t="s">
        <v>275</v>
      </c>
      <c r="L44" s="357"/>
    </row>
    <row r="45" spans="1:12" x14ac:dyDescent="0.2">
      <c r="A45" s="59">
        <f t="shared" si="0"/>
        <v>12</v>
      </c>
      <c r="B45" s="68"/>
      <c r="C45" s="60" t="s">
        <v>256</v>
      </c>
      <c r="D45" s="97" t="s">
        <v>261</v>
      </c>
      <c r="E45" s="62" t="s">
        <v>352</v>
      </c>
      <c r="F45" s="116"/>
      <c r="G45" s="148">
        <v>-1.37</v>
      </c>
      <c r="H45" s="115"/>
      <c r="I45" s="95" t="s">
        <v>259</v>
      </c>
      <c r="J45" s="303">
        <v>0</v>
      </c>
      <c r="K45" s="358" t="s">
        <v>353</v>
      </c>
      <c r="L45" s="357"/>
    </row>
    <row r="46" spans="1:12" x14ac:dyDescent="0.2">
      <c r="A46" s="59">
        <f t="shared" si="0"/>
        <v>13</v>
      </c>
      <c r="B46" s="68"/>
      <c r="C46" s="60" t="s">
        <v>256</v>
      </c>
      <c r="D46" s="97" t="s">
        <v>261</v>
      </c>
      <c r="E46" s="62" t="s">
        <v>276</v>
      </c>
      <c r="F46" s="116"/>
      <c r="G46" s="148">
        <v>0</v>
      </c>
      <c r="H46" s="115"/>
      <c r="I46" s="95" t="s">
        <v>259</v>
      </c>
      <c r="J46" s="303">
        <v>0</v>
      </c>
      <c r="K46" s="358" t="s">
        <v>277</v>
      </c>
      <c r="L46" s="357"/>
    </row>
    <row r="47" spans="1:12" x14ac:dyDescent="0.2">
      <c r="A47" s="59">
        <f t="shared" si="0"/>
        <v>14</v>
      </c>
      <c r="B47" s="68"/>
      <c r="C47" s="60" t="s">
        <v>256</v>
      </c>
      <c r="D47" s="97" t="s">
        <v>261</v>
      </c>
      <c r="E47" s="62" t="s">
        <v>278</v>
      </c>
      <c r="F47" s="116"/>
      <c r="G47" s="148">
        <v>0</v>
      </c>
      <c r="H47" s="115"/>
      <c r="I47" s="95" t="s">
        <v>259</v>
      </c>
      <c r="J47" s="303">
        <v>0</v>
      </c>
      <c r="K47" s="358" t="s">
        <v>279</v>
      </c>
      <c r="L47" s="357"/>
    </row>
    <row r="48" spans="1:12" x14ac:dyDescent="0.2">
      <c r="A48" s="59">
        <f t="shared" si="0"/>
        <v>15</v>
      </c>
      <c r="B48" s="68"/>
      <c r="C48" s="60" t="s">
        <v>256</v>
      </c>
      <c r="D48" s="97" t="s">
        <v>261</v>
      </c>
      <c r="E48" s="62" t="s">
        <v>280</v>
      </c>
      <c r="F48" s="116"/>
      <c r="G48" s="148">
        <v>0</v>
      </c>
      <c r="H48" s="115"/>
      <c r="I48" s="95" t="s">
        <v>259</v>
      </c>
      <c r="J48" s="303">
        <v>0</v>
      </c>
      <c r="K48" s="358" t="s">
        <v>281</v>
      </c>
      <c r="L48" s="357"/>
    </row>
    <row r="49" spans="1:15" x14ac:dyDescent="0.2">
      <c r="A49" s="59">
        <f>+A48+1</f>
        <v>16</v>
      </c>
      <c r="B49" s="68"/>
      <c r="C49" s="68" t="s">
        <v>256</v>
      </c>
      <c r="D49" s="94" t="s">
        <v>261</v>
      </c>
      <c r="E49" s="68" t="s">
        <v>282</v>
      </c>
      <c r="F49" s="116"/>
      <c r="G49" s="148">
        <f>SUM(G40:G48)</f>
        <v>97.704329999999985</v>
      </c>
      <c r="H49" s="115"/>
      <c r="I49" s="95" t="s">
        <v>259</v>
      </c>
      <c r="J49" s="61">
        <v>0</v>
      </c>
      <c r="K49" s="358" t="s">
        <v>283</v>
      </c>
      <c r="L49" s="357"/>
    </row>
    <row r="50" spans="1:15" x14ac:dyDescent="0.2">
      <c r="A50" s="59">
        <f t="shared" ref="A50:A74" si="1">+A49+1</f>
        <v>17</v>
      </c>
      <c r="B50" s="68"/>
      <c r="C50" s="68" t="s">
        <v>256</v>
      </c>
      <c r="D50" s="98" t="s">
        <v>261</v>
      </c>
      <c r="E50" s="71" t="s">
        <v>284</v>
      </c>
      <c r="F50" s="116"/>
      <c r="G50" s="148">
        <v>0</v>
      </c>
      <c r="H50" s="115"/>
      <c r="I50" s="95" t="s">
        <v>259</v>
      </c>
      <c r="J50" s="61">
        <v>0</v>
      </c>
      <c r="K50" s="358" t="s">
        <v>285</v>
      </c>
      <c r="L50" s="357"/>
    </row>
    <row r="51" spans="1:15" x14ac:dyDescent="0.2">
      <c r="A51" s="59">
        <f t="shared" si="1"/>
        <v>18</v>
      </c>
      <c r="B51" s="68"/>
      <c r="C51" s="68" t="s">
        <v>256</v>
      </c>
      <c r="D51" s="98" t="s">
        <v>261</v>
      </c>
      <c r="E51" s="71" t="s">
        <v>286</v>
      </c>
      <c r="F51" s="116"/>
      <c r="G51" s="148">
        <f>SUM(G49:G50)</f>
        <v>97.704329999999985</v>
      </c>
      <c r="H51" s="115"/>
      <c r="I51" s="95" t="s">
        <v>259</v>
      </c>
      <c r="J51" s="61">
        <v>0</v>
      </c>
      <c r="K51" s="358" t="s">
        <v>287</v>
      </c>
      <c r="L51" s="357"/>
    </row>
    <row r="52" spans="1:15" x14ac:dyDescent="0.2">
      <c r="A52" s="59">
        <f t="shared" si="1"/>
        <v>19</v>
      </c>
      <c r="B52" s="68"/>
      <c r="C52" s="68" t="s">
        <v>256</v>
      </c>
      <c r="D52" s="94" t="s">
        <v>261</v>
      </c>
      <c r="E52" s="68" t="s">
        <v>288</v>
      </c>
      <c r="F52" s="115"/>
      <c r="G52" s="147"/>
      <c r="H52" s="115">
        <v>0</v>
      </c>
      <c r="I52" s="95" t="s">
        <v>259</v>
      </c>
      <c r="J52" s="61">
        <v>0</v>
      </c>
      <c r="K52" s="357" t="s">
        <v>289</v>
      </c>
      <c r="L52" s="357"/>
    </row>
    <row r="53" spans="1:15" ht="12.75" x14ac:dyDescent="0.2">
      <c r="A53" s="59">
        <f t="shared" si="1"/>
        <v>20</v>
      </c>
      <c r="B53" s="68"/>
      <c r="C53" s="68" t="s">
        <v>256</v>
      </c>
      <c r="D53" s="94" t="s">
        <v>261</v>
      </c>
      <c r="E53" s="68" t="s">
        <v>290</v>
      </c>
      <c r="F53" s="115"/>
      <c r="G53" s="147" t="s">
        <v>72</v>
      </c>
      <c r="H53" s="302">
        <f>ROUND((+F36*G51)+H52,2)</f>
        <v>70347128.150000006</v>
      </c>
      <c r="I53" s="95" t="s">
        <v>259</v>
      </c>
      <c r="J53" s="303">
        <v>0</v>
      </c>
      <c r="K53" s="357" t="s">
        <v>291</v>
      </c>
      <c r="L53" s="359" t="s">
        <v>513</v>
      </c>
      <c r="M53" s="304" t="s">
        <v>449</v>
      </c>
      <c r="N53" s="304"/>
      <c r="O53" s="304"/>
    </row>
    <row r="54" spans="1:15" x14ac:dyDescent="0.2">
      <c r="A54" s="59">
        <f t="shared" si="1"/>
        <v>21</v>
      </c>
      <c r="B54" s="68"/>
      <c r="C54" s="68" t="s">
        <v>256</v>
      </c>
      <c r="D54" s="94" t="s">
        <v>261</v>
      </c>
      <c r="E54" s="68" t="s">
        <v>292</v>
      </c>
      <c r="F54" s="115"/>
      <c r="G54" s="147"/>
      <c r="H54" s="116">
        <f>ROUND(+F37*G51,2)</f>
        <v>8793391.0199999996</v>
      </c>
      <c r="I54" s="95" t="s">
        <v>259</v>
      </c>
      <c r="J54" s="303">
        <v>0</v>
      </c>
      <c r="K54" s="357" t="s">
        <v>293</v>
      </c>
      <c r="L54" s="359" t="s">
        <v>396</v>
      </c>
    </row>
    <row r="55" spans="1:15" x14ac:dyDescent="0.2">
      <c r="A55" s="59">
        <f t="shared" si="1"/>
        <v>22</v>
      </c>
      <c r="B55" s="68"/>
      <c r="C55" s="68" t="s">
        <v>256</v>
      </c>
      <c r="D55" s="94" t="s">
        <v>261</v>
      </c>
      <c r="E55" s="68" t="s">
        <v>294</v>
      </c>
      <c r="F55" s="115"/>
      <c r="G55" s="147">
        <v>0.19839999999999999</v>
      </c>
      <c r="H55" s="115"/>
      <c r="I55" s="95" t="s">
        <v>259</v>
      </c>
      <c r="J55" s="303">
        <v>0</v>
      </c>
      <c r="K55" s="357" t="s">
        <v>295</v>
      </c>
      <c r="L55" s="359"/>
    </row>
    <row r="56" spans="1:15" ht="12.75" x14ac:dyDescent="0.2">
      <c r="A56" s="59">
        <f t="shared" si="1"/>
        <v>23</v>
      </c>
      <c r="B56" s="68"/>
      <c r="C56" s="68" t="s">
        <v>256</v>
      </c>
      <c r="D56" s="94" t="s">
        <v>261</v>
      </c>
      <c r="E56" s="68" t="s">
        <v>34</v>
      </c>
      <c r="F56" s="115"/>
      <c r="G56" s="147" t="s">
        <v>72</v>
      </c>
      <c r="H56" s="302">
        <f>ROUND(+$F$36*G55,2)</f>
        <v>142848.01999999999</v>
      </c>
      <c r="I56" s="95" t="s">
        <v>259</v>
      </c>
      <c r="J56" s="303">
        <v>0</v>
      </c>
      <c r="K56" s="357" t="s">
        <v>296</v>
      </c>
      <c r="L56" s="359" t="s">
        <v>514</v>
      </c>
      <c r="M56" s="304" t="s">
        <v>449</v>
      </c>
      <c r="N56" s="304"/>
      <c r="O56" s="304"/>
    </row>
    <row r="57" spans="1:15" x14ac:dyDescent="0.2">
      <c r="A57" s="59">
        <f t="shared" si="1"/>
        <v>24</v>
      </c>
      <c r="B57" s="68"/>
      <c r="C57" s="68" t="s">
        <v>256</v>
      </c>
      <c r="D57" s="94" t="s">
        <v>261</v>
      </c>
      <c r="E57" s="68" t="s">
        <v>297</v>
      </c>
      <c r="F57" s="115"/>
      <c r="G57" s="147">
        <v>0.96</v>
      </c>
      <c r="H57" s="116"/>
      <c r="I57" s="95" t="s">
        <v>259</v>
      </c>
      <c r="J57" s="61">
        <v>0</v>
      </c>
      <c r="K57" s="357" t="s">
        <v>298</v>
      </c>
      <c r="L57" s="359"/>
    </row>
    <row r="58" spans="1:15" x14ac:dyDescent="0.2">
      <c r="A58" s="59">
        <f t="shared" si="1"/>
        <v>25</v>
      </c>
      <c r="B58" s="68"/>
      <c r="C58" s="68" t="s">
        <v>256</v>
      </c>
      <c r="D58" s="94" t="s">
        <v>261</v>
      </c>
      <c r="E58" s="68" t="s">
        <v>100</v>
      </c>
      <c r="F58" s="115"/>
      <c r="G58" s="147"/>
      <c r="H58" s="116">
        <f>ROUND(+$F$34*G57,2)</f>
        <v>768000.12</v>
      </c>
      <c r="I58" s="95" t="s">
        <v>259</v>
      </c>
      <c r="J58" s="61">
        <v>0</v>
      </c>
      <c r="K58" s="357" t="s">
        <v>299</v>
      </c>
      <c r="L58" s="359" t="s">
        <v>398</v>
      </c>
    </row>
    <row r="59" spans="1:15" ht="11.25" customHeight="1" x14ac:dyDescent="0.2">
      <c r="A59" s="59">
        <f t="shared" ref="A59:A64" si="2">+A58+1</f>
        <v>26</v>
      </c>
      <c r="B59" s="68"/>
      <c r="C59" s="60" t="s">
        <v>121</v>
      </c>
      <c r="D59" s="146" t="s">
        <v>368</v>
      </c>
      <c r="E59" s="60" t="s">
        <v>258</v>
      </c>
      <c r="F59" s="115">
        <v>1886.69</v>
      </c>
      <c r="G59" s="147"/>
      <c r="H59" s="115"/>
      <c r="I59" s="95" t="s">
        <v>259</v>
      </c>
      <c r="J59" s="61">
        <v>0</v>
      </c>
      <c r="K59" s="358" t="s">
        <v>354</v>
      </c>
      <c r="L59" s="359"/>
    </row>
    <row r="60" spans="1:15" x14ac:dyDescent="0.2">
      <c r="A60" s="59">
        <f t="shared" si="2"/>
        <v>27</v>
      </c>
      <c r="B60" s="68"/>
      <c r="C60" s="60" t="s">
        <v>121</v>
      </c>
      <c r="D60" s="146" t="s">
        <v>369</v>
      </c>
      <c r="E60" s="60" t="s">
        <v>262</v>
      </c>
      <c r="F60" s="116">
        <v>235.84</v>
      </c>
      <c r="G60" s="147"/>
      <c r="H60" s="115"/>
      <c r="I60" s="95" t="s">
        <v>259</v>
      </c>
      <c r="J60" s="61">
        <v>0</v>
      </c>
      <c r="K60" s="358" t="s">
        <v>263</v>
      </c>
      <c r="L60" s="359"/>
    </row>
    <row r="61" spans="1:15" x14ac:dyDescent="0.2">
      <c r="A61" s="137">
        <f t="shared" si="2"/>
        <v>28</v>
      </c>
      <c r="B61" s="138"/>
      <c r="C61" s="139" t="s">
        <v>121</v>
      </c>
      <c r="D61" s="146" t="s">
        <v>369</v>
      </c>
      <c r="E61" s="139" t="s">
        <v>363</v>
      </c>
      <c r="F61" s="116">
        <f>+F60/J71</f>
        <v>39.306666666666665</v>
      </c>
      <c r="G61" s="148"/>
      <c r="H61" s="116"/>
      <c r="I61" s="95" t="s">
        <v>259</v>
      </c>
      <c r="J61" s="61">
        <v>0</v>
      </c>
      <c r="K61" s="358" t="s">
        <v>367</v>
      </c>
      <c r="L61" s="359" t="s">
        <v>399</v>
      </c>
    </row>
    <row r="62" spans="1:15" x14ac:dyDescent="0.2">
      <c r="A62" s="59">
        <f t="shared" si="2"/>
        <v>29</v>
      </c>
      <c r="B62" s="68"/>
      <c r="C62" s="60" t="s">
        <v>121</v>
      </c>
      <c r="D62" s="146" t="s">
        <v>369</v>
      </c>
      <c r="E62" s="60" t="s">
        <v>264</v>
      </c>
      <c r="F62" s="116">
        <f>F60-F63</f>
        <v>212.26</v>
      </c>
      <c r="G62" s="148"/>
      <c r="H62" s="116"/>
      <c r="I62" s="95" t="s">
        <v>259</v>
      </c>
      <c r="J62" s="61">
        <v>0</v>
      </c>
      <c r="K62" s="358" t="s">
        <v>265</v>
      </c>
      <c r="L62" s="359"/>
    </row>
    <row r="63" spans="1:15" x14ac:dyDescent="0.2">
      <c r="A63" s="59">
        <f t="shared" si="2"/>
        <v>30</v>
      </c>
      <c r="B63" s="68"/>
      <c r="C63" s="60" t="s">
        <v>121</v>
      </c>
      <c r="D63" s="146" t="s">
        <v>369</v>
      </c>
      <c r="E63" s="99" t="s">
        <v>266</v>
      </c>
      <c r="F63" s="116">
        <v>23.58</v>
      </c>
      <c r="G63" s="148"/>
      <c r="H63" s="116"/>
      <c r="I63" s="95" t="s">
        <v>259</v>
      </c>
      <c r="J63" s="61">
        <v>0</v>
      </c>
      <c r="K63" s="358" t="s">
        <v>267</v>
      </c>
      <c r="L63" s="359"/>
    </row>
    <row r="64" spans="1:15" x14ac:dyDescent="0.2">
      <c r="A64" s="59">
        <f t="shared" si="2"/>
        <v>31</v>
      </c>
      <c r="B64" s="68"/>
      <c r="C64" s="60" t="s">
        <v>121</v>
      </c>
      <c r="D64" s="146" t="s">
        <v>369</v>
      </c>
      <c r="E64" s="62" t="s">
        <v>268</v>
      </c>
      <c r="F64" s="116"/>
      <c r="G64" s="148">
        <v>3.58</v>
      </c>
      <c r="H64" s="116"/>
      <c r="I64" s="95" t="s">
        <v>259</v>
      </c>
      <c r="J64" s="61">
        <v>0</v>
      </c>
      <c r="K64" s="358" t="s">
        <v>269</v>
      </c>
      <c r="L64" s="359"/>
    </row>
    <row r="65" spans="1:12" x14ac:dyDescent="0.2">
      <c r="A65" s="59">
        <f t="shared" si="1"/>
        <v>32</v>
      </c>
      <c r="B65" s="68"/>
      <c r="C65" s="60" t="s">
        <v>121</v>
      </c>
      <c r="D65" s="146" t="s">
        <v>369</v>
      </c>
      <c r="E65" s="60" t="s">
        <v>282</v>
      </c>
      <c r="F65" s="116"/>
      <c r="G65" s="148">
        <f>SUM(G64:G64)</f>
        <v>3.58</v>
      </c>
      <c r="H65" s="116"/>
      <c r="I65" s="95" t="s">
        <v>259</v>
      </c>
      <c r="J65" s="61">
        <v>0</v>
      </c>
      <c r="K65" s="358" t="s">
        <v>283</v>
      </c>
      <c r="L65" s="359"/>
    </row>
    <row r="66" spans="1:12" x14ac:dyDescent="0.2">
      <c r="A66" s="59">
        <f t="shared" si="1"/>
        <v>33</v>
      </c>
      <c r="B66" s="68"/>
      <c r="C66" s="60" t="s">
        <v>121</v>
      </c>
      <c r="D66" s="146" t="s">
        <v>369</v>
      </c>
      <c r="E66" s="71" t="s">
        <v>284</v>
      </c>
      <c r="F66" s="116"/>
      <c r="G66" s="148">
        <f>+G50</f>
        <v>0</v>
      </c>
      <c r="H66" s="116"/>
      <c r="I66" s="95" t="s">
        <v>259</v>
      </c>
      <c r="J66" s="61">
        <v>0</v>
      </c>
      <c r="K66" s="358" t="s">
        <v>285</v>
      </c>
      <c r="L66" s="359"/>
    </row>
    <row r="67" spans="1:12" x14ac:dyDescent="0.2">
      <c r="A67" s="59">
        <f t="shared" si="1"/>
        <v>34</v>
      </c>
      <c r="B67" s="68"/>
      <c r="C67" s="60" t="s">
        <v>121</v>
      </c>
      <c r="D67" s="146" t="s">
        <v>369</v>
      </c>
      <c r="E67" s="71" t="s">
        <v>286</v>
      </c>
      <c r="F67" s="116"/>
      <c r="G67" s="148">
        <f>SUM(G65:G66)</f>
        <v>3.58</v>
      </c>
      <c r="H67" s="116"/>
      <c r="I67" s="95" t="s">
        <v>259</v>
      </c>
      <c r="J67" s="66">
        <v>0</v>
      </c>
      <c r="K67" s="358" t="s">
        <v>287</v>
      </c>
      <c r="L67" s="359"/>
    </row>
    <row r="68" spans="1:12" x14ac:dyDescent="0.2">
      <c r="A68" s="59">
        <f t="shared" si="1"/>
        <v>35</v>
      </c>
      <c r="B68" s="68"/>
      <c r="C68" s="60" t="s">
        <v>121</v>
      </c>
      <c r="D68" s="146" t="s">
        <v>369</v>
      </c>
      <c r="E68" s="68" t="s">
        <v>288</v>
      </c>
      <c r="F68" s="116"/>
      <c r="G68" s="148"/>
      <c r="H68" s="116">
        <v>0</v>
      </c>
      <c r="I68" s="95" t="s">
        <v>259</v>
      </c>
      <c r="J68" s="61">
        <v>0</v>
      </c>
      <c r="K68" s="358" t="s">
        <v>289</v>
      </c>
      <c r="L68" s="359"/>
    </row>
    <row r="69" spans="1:12" x14ac:dyDescent="0.2">
      <c r="A69" s="59">
        <f t="shared" si="1"/>
        <v>36</v>
      </c>
      <c r="B69" s="68"/>
      <c r="C69" s="60" t="s">
        <v>121</v>
      </c>
      <c r="D69" s="146" t="s">
        <v>369</v>
      </c>
      <c r="E69" s="60" t="s">
        <v>290</v>
      </c>
      <c r="F69" s="116"/>
      <c r="G69" s="148"/>
      <c r="H69" s="116">
        <f>ROUND((+F59*G67)+H68,2)</f>
        <v>6754.35</v>
      </c>
      <c r="I69" s="95" t="s">
        <v>259</v>
      </c>
      <c r="J69" s="61">
        <v>0</v>
      </c>
      <c r="K69" s="358" t="s">
        <v>291</v>
      </c>
      <c r="L69" s="359" t="s">
        <v>395</v>
      </c>
    </row>
    <row r="70" spans="1:12" x14ac:dyDescent="0.2">
      <c r="A70" s="59">
        <f t="shared" si="1"/>
        <v>37</v>
      </c>
      <c r="B70" s="68"/>
      <c r="C70" s="60" t="s">
        <v>121</v>
      </c>
      <c r="D70" s="146" t="s">
        <v>369</v>
      </c>
      <c r="E70" s="60" t="s">
        <v>292</v>
      </c>
      <c r="F70" s="116"/>
      <c r="G70" s="148"/>
      <c r="H70" s="116">
        <f>ROUND(+F60*G67,2)</f>
        <v>844.31</v>
      </c>
      <c r="I70" s="95" t="s">
        <v>259</v>
      </c>
      <c r="J70" s="61">
        <v>0</v>
      </c>
      <c r="K70" s="358" t="s">
        <v>293</v>
      </c>
      <c r="L70" s="359" t="s">
        <v>396</v>
      </c>
    </row>
    <row r="71" spans="1:12" x14ac:dyDescent="0.2">
      <c r="A71" s="137">
        <f t="shared" si="1"/>
        <v>38</v>
      </c>
      <c r="B71" s="138"/>
      <c r="C71" s="139" t="s">
        <v>121</v>
      </c>
      <c r="D71" s="146" t="s">
        <v>369</v>
      </c>
      <c r="E71" s="139" t="s">
        <v>350</v>
      </c>
      <c r="F71" s="116"/>
      <c r="G71" s="148"/>
      <c r="H71" s="116"/>
      <c r="I71" s="95" t="s">
        <v>259</v>
      </c>
      <c r="J71" s="140">
        <v>6</v>
      </c>
      <c r="K71" s="358" t="s">
        <v>351</v>
      </c>
      <c r="L71" s="359"/>
    </row>
    <row r="72" spans="1:12" x14ac:dyDescent="0.2">
      <c r="A72" s="137">
        <f t="shared" si="1"/>
        <v>39</v>
      </c>
      <c r="B72" s="138"/>
      <c r="C72" s="139" t="s">
        <v>121</v>
      </c>
      <c r="D72" s="146" t="s">
        <v>368</v>
      </c>
      <c r="E72" s="139" t="s">
        <v>362</v>
      </c>
      <c r="F72" s="116">
        <f>F59/J71</f>
        <v>314.44833333333332</v>
      </c>
      <c r="G72" s="148"/>
      <c r="H72" s="116"/>
      <c r="I72" s="95" t="s">
        <v>259</v>
      </c>
      <c r="J72" s="61">
        <v>0</v>
      </c>
      <c r="K72" s="358" t="s">
        <v>365</v>
      </c>
      <c r="L72" s="359" t="s">
        <v>400</v>
      </c>
    </row>
    <row r="73" spans="1:12" x14ac:dyDescent="0.2">
      <c r="A73" s="137">
        <f t="shared" si="1"/>
        <v>40</v>
      </c>
      <c r="B73" s="138"/>
      <c r="C73" s="139" t="s">
        <v>121</v>
      </c>
      <c r="D73" s="146" t="s">
        <v>369</v>
      </c>
      <c r="E73" s="139" t="s">
        <v>294</v>
      </c>
      <c r="F73" s="116"/>
      <c r="G73" s="148">
        <f>+G55</f>
        <v>0.19839999999999999</v>
      </c>
      <c r="H73" s="116"/>
      <c r="I73" s="95" t="s">
        <v>259</v>
      </c>
      <c r="J73" s="61">
        <v>0</v>
      </c>
      <c r="K73" s="358" t="s">
        <v>295</v>
      </c>
      <c r="L73" s="359"/>
    </row>
    <row r="74" spans="1:12" x14ac:dyDescent="0.2">
      <c r="A74" s="137">
        <f t="shared" si="1"/>
        <v>41</v>
      </c>
      <c r="B74" s="138"/>
      <c r="C74" s="139" t="s">
        <v>121</v>
      </c>
      <c r="D74" s="146" t="s">
        <v>369</v>
      </c>
      <c r="E74" s="139" t="s">
        <v>34</v>
      </c>
      <c r="F74" s="116"/>
      <c r="G74" s="148"/>
      <c r="H74" s="116">
        <f>ROUND(+F72*G73,2)</f>
        <v>62.39</v>
      </c>
      <c r="I74" s="95" t="s">
        <v>259</v>
      </c>
      <c r="J74" s="61">
        <v>0</v>
      </c>
      <c r="K74" s="358" t="s">
        <v>296</v>
      </c>
      <c r="L74" s="359" t="s">
        <v>397</v>
      </c>
    </row>
    <row r="76" spans="1:12" x14ac:dyDescent="0.2">
      <c r="H76" s="100"/>
    </row>
    <row r="78" spans="1:12" x14ac:dyDescent="0.2">
      <c r="G78" s="102"/>
    </row>
  </sheetData>
  <sheetProtection selectLockedCells="1"/>
  <conditionalFormatting sqref="B39:B40 A34:B34 B37">
    <cfRule type="cellIs" dxfId="5" priority="3" stopIfTrue="1" operator="equal">
      <formula>"A32"</formula>
    </cfRule>
  </conditionalFormatting>
  <conditionalFormatting sqref="A35:B36 A37:A48">
    <cfRule type="cellIs" dxfId="4" priority="2" stopIfTrue="1" operator="equal">
      <formula>"A32"</formula>
    </cfRule>
  </conditionalFormatting>
  <conditionalFormatting sqref="B41:B47">
    <cfRule type="cellIs" dxfId="3" priority="1" stopIfTrue="1" operator="equal">
      <formula>"A32"</formula>
    </cfRule>
  </conditionalFormatting>
  <pageMargins left="0" right="0" top="0.5" bottom="0.5" header="0.25" footer="0.25"/>
  <pageSetup scale="64" orientation="portrait" r:id="rId1"/>
  <headerFooter alignWithMargins="0">
    <oddFooter>&amp;R&amp;"Arial,Bold"&amp;6File:&amp;F</oddFooter>
  </headerFooter>
  <ignoredErrors>
    <ignoredError sqref="D34:F34 G5:G8" numberStoredAsText="1"/>
    <ignoredError sqref="A35:C74 E35:H74" unlockedFormula="1"/>
    <ignoredError sqref="D35:D74" numberStoredAsText="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86"/>
  <sheetViews>
    <sheetView zoomScaleNormal="100" workbookViewId="0">
      <selection activeCell="F78" sqref="F78"/>
    </sheetView>
  </sheetViews>
  <sheetFormatPr defaultRowHeight="11.25" x14ac:dyDescent="0.2"/>
  <cols>
    <col min="1" max="1" width="7" style="5" customWidth="1"/>
    <col min="2" max="2" width="11.85546875" style="5" customWidth="1"/>
    <col min="3" max="3" width="9.7109375" style="5" customWidth="1"/>
    <col min="4" max="4" width="11.85546875" style="5" customWidth="1"/>
    <col min="5" max="5" width="9.140625" style="5"/>
    <col min="6" max="6" width="18.28515625" style="7" customWidth="1"/>
    <col min="7" max="16384" width="9.140625" style="247"/>
  </cols>
  <sheetData>
    <row r="1" spans="1:7" s="13" customFormat="1" ht="46.5" customHeight="1" x14ac:dyDescent="0.2">
      <c r="A1" s="296" t="str">
        <f>'AC - Example'!A1</f>
        <v>ALASKA DNR - OIL &amp; GAS  V 1.201308</v>
      </c>
      <c r="B1" s="246"/>
      <c r="F1" s="297" t="str">
        <f>+'VV-Master'!F1</f>
        <v>TEMPLATE FORMATTED FOR FILING</v>
      </c>
    </row>
    <row r="2" spans="1:7" x14ac:dyDescent="0.2">
      <c r="A2" s="19" t="s">
        <v>39</v>
      </c>
      <c r="B2" s="1"/>
      <c r="C2" s="31" t="s">
        <v>302</v>
      </c>
      <c r="D2" s="1"/>
      <c r="E2" s="1"/>
      <c r="F2" s="346" t="str">
        <f>+'AC - Example'!G2</f>
        <v>AC</v>
      </c>
      <c r="G2" s="17"/>
    </row>
    <row r="3" spans="1:7" s="248" customFormat="1" x14ac:dyDescent="0.2">
      <c r="A3" s="29" t="s">
        <v>33</v>
      </c>
      <c r="B3" s="1"/>
      <c r="C3" s="31" t="s">
        <v>301</v>
      </c>
      <c r="D3" s="1"/>
      <c r="E3" s="1"/>
      <c r="F3" s="346" t="str">
        <f>+'AC - Example'!G3</f>
        <v>AL</v>
      </c>
      <c r="G3" s="17"/>
    </row>
    <row r="4" spans="1:7" s="249" customFormat="1" x14ac:dyDescent="0.2">
      <c r="A4" s="15" t="s">
        <v>40</v>
      </c>
      <c r="B4" s="16"/>
      <c r="C4" s="16"/>
      <c r="D4" s="16"/>
      <c r="E4" s="16"/>
      <c r="F4" s="346" t="str">
        <f>+'AC - Example'!G4</f>
        <v>REG</v>
      </c>
    </row>
    <row r="5" spans="1:7" x14ac:dyDescent="0.2">
      <c r="A5" s="3" t="s">
        <v>14</v>
      </c>
      <c r="B5" s="1"/>
      <c r="C5" s="1"/>
      <c r="D5" s="1"/>
      <c r="E5" s="1"/>
      <c r="F5" s="346" t="str">
        <f>+'AC - Example'!G5</f>
        <v>000012345</v>
      </c>
    </row>
    <row r="6" spans="1:7" x14ac:dyDescent="0.2">
      <c r="A6" s="1"/>
      <c r="B6" s="1"/>
      <c r="C6" s="1"/>
      <c r="D6" s="1"/>
      <c r="E6" s="1"/>
      <c r="F6" s="20"/>
    </row>
    <row r="7" spans="1:7" x14ac:dyDescent="0.2">
      <c r="A7" s="3" t="s">
        <v>15</v>
      </c>
      <c r="B7" s="1"/>
      <c r="C7" s="1"/>
      <c r="D7" s="1"/>
      <c r="E7" s="1"/>
      <c r="F7" s="352">
        <f>+'AC - Example'!G7</f>
        <v>41640</v>
      </c>
    </row>
    <row r="8" spans="1:7" x14ac:dyDescent="0.2">
      <c r="A8" s="3" t="s">
        <v>17</v>
      </c>
      <c r="B8" s="1"/>
      <c r="C8" s="1"/>
      <c r="D8" s="1"/>
      <c r="E8" s="1"/>
      <c r="F8" s="346" t="str">
        <f>+'AC - Example'!G8</f>
        <v>01</v>
      </c>
    </row>
    <row r="9" spans="1:7" x14ac:dyDescent="0.2">
      <c r="A9" s="3" t="s">
        <v>5</v>
      </c>
      <c r="B9" s="1"/>
      <c r="C9" s="1"/>
      <c r="D9" s="1"/>
      <c r="E9" s="1"/>
      <c r="F9" s="352">
        <f>+'AC - Example'!G9</f>
        <v>41699</v>
      </c>
    </row>
    <row r="10" spans="1:7" x14ac:dyDescent="0.2">
      <c r="A10" s="3" t="s">
        <v>16</v>
      </c>
      <c r="B10" s="1"/>
      <c r="C10" s="1"/>
      <c r="D10" s="1"/>
      <c r="E10" s="1"/>
      <c r="F10" s="346" t="str">
        <f>+'AC - Example'!G10</f>
        <v>000012345N03201400</v>
      </c>
    </row>
    <row r="11" spans="1:7" x14ac:dyDescent="0.2">
      <c r="A11" s="3" t="s">
        <v>13</v>
      </c>
      <c r="B11" s="1"/>
      <c r="C11" s="1"/>
      <c r="D11" s="1"/>
      <c r="E11" s="1"/>
      <c r="F11" s="352">
        <f>+'AC - Example'!G11</f>
        <v>41729</v>
      </c>
    </row>
    <row r="12" spans="1:7" x14ac:dyDescent="0.2">
      <c r="A12" s="3" t="s">
        <v>7</v>
      </c>
      <c r="B12" s="1"/>
      <c r="C12" s="1"/>
      <c r="D12" s="1"/>
      <c r="E12" s="1"/>
      <c r="F12" s="346" t="str">
        <f>'AC - Example'!G12</f>
        <v>ADL #</v>
      </c>
    </row>
    <row r="13" spans="1:7" x14ac:dyDescent="0.2">
      <c r="A13" s="3"/>
      <c r="B13" s="1"/>
      <c r="C13" s="1"/>
      <c r="D13" s="1"/>
      <c r="E13" s="1"/>
      <c r="F13" s="20"/>
    </row>
    <row r="14" spans="1:7" x14ac:dyDescent="0.2">
      <c r="A14" s="3"/>
      <c r="B14" s="1"/>
      <c r="C14" s="1"/>
      <c r="D14" s="1"/>
      <c r="E14" s="1"/>
      <c r="F14" s="20"/>
    </row>
    <row r="15" spans="1:7" x14ac:dyDescent="0.2">
      <c r="A15" s="3"/>
      <c r="B15" s="1"/>
      <c r="C15" s="1"/>
      <c r="D15" s="1"/>
      <c r="E15" s="1"/>
      <c r="F15" s="20"/>
    </row>
    <row r="16" spans="1:7" x14ac:dyDescent="0.2">
      <c r="A16" s="3"/>
      <c r="B16" s="1"/>
      <c r="C16" s="1"/>
      <c r="D16" s="1"/>
      <c r="E16" s="1"/>
      <c r="F16" s="20"/>
    </row>
    <row r="17" spans="1:6" x14ac:dyDescent="0.2">
      <c r="A17" s="3"/>
      <c r="B17" s="1"/>
      <c r="C17" s="1"/>
      <c r="D17" s="1"/>
      <c r="E17" s="1"/>
      <c r="F17" s="20"/>
    </row>
    <row r="18" spans="1:6" s="249" customFormat="1" ht="12" customHeight="1" x14ac:dyDescent="0.2">
      <c r="A18" s="23"/>
      <c r="B18" s="23"/>
      <c r="C18" s="23"/>
      <c r="D18" s="23"/>
      <c r="E18" s="23"/>
      <c r="F18" s="23"/>
    </row>
    <row r="19" spans="1:6" x14ac:dyDescent="0.2">
      <c r="A19" s="3" t="s">
        <v>22</v>
      </c>
      <c r="B19" s="1"/>
      <c r="C19" s="1"/>
      <c r="D19" s="1"/>
      <c r="E19" s="1"/>
      <c r="F19" s="346" t="str">
        <f>'AC - Example'!G19</f>
        <v>XYZ Company</v>
      </c>
    </row>
    <row r="20" spans="1:6" x14ac:dyDescent="0.2">
      <c r="A20" s="3"/>
      <c r="B20" s="1"/>
      <c r="C20" s="1"/>
      <c r="D20" s="1"/>
      <c r="E20" s="1"/>
      <c r="F20" s="344"/>
    </row>
    <row r="21" spans="1:6" x14ac:dyDescent="0.2">
      <c r="A21" s="3" t="s">
        <v>0</v>
      </c>
      <c r="B21" s="1"/>
      <c r="C21" s="1"/>
      <c r="D21" s="1"/>
      <c r="E21" s="1"/>
      <c r="F21" s="346" t="str">
        <f>'AC - Example'!G21</f>
        <v>Enter Data</v>
      </c>
    </row>
    <row r="22" spans="1:6" x14ac:dyDescent="0.2">
      <c r="A22" s="3" t="s">
        <v>1</v>
      </c>
      <c r="B22" s="1"/>
      <c r="C22" s="1"/>
      <c r="D22" s="1"/>
      <c r="E22" s="1"/>
      <c r="F22" s="346" t="str">
        <f>'AC - Example'!G22</f>
        <v>Enter Data</v>
      </c>
    </row>
    <row r="23" spans="1:6" x14ac:dyDescent="0.2">
      <c r="A23" s="3" t="s">
        <v>2</v>
      </c>
      <c r="B23" s="1"/>
      <c r="C23" s="1"/>
      <c r="D23" s="1"/>
      <c r="E23" s="1"/>
      <c r="F23" s="346" t="str">
        <f>'AC - Example'!G23</f>
        <v>Enter Data</v>
      </c>
    </row>
    <row r="24" spans="1:6" x14ac:dyDescent="0.2">
      <c r="A24" s="3" t="s">
        <v>3</v>
      </c>
      <c r="B24" s="1"/>
      <c r="C24" s="1"/>
      <c r="D24" s="1"/>
      <c r="E24" s="1"/>
      <c r="F24" s="346" t="str">
        <f>'AC - Example'!G24</f>
        <v>Enter Data</v>
      </c>
    </row>
    <row r="25" spans="1:6" x14ac:dyDescent="0.2">
      <c r="A25" s="3" t="s">
        <v>4</v>
      </c>
      <c r="B25" s="1"/>
      <c r="C25" s="1"/>
      <c r="D25" s="1"/>
      <c r="E25" s="1"/>
      <c r="F25" s="346" t="str">
        <f>'AC - Example'!G25</f>
        <v>Enter Data</v>
      </c>
    </row>
    <row r="26" spans="1:6" x14ac:dyDescent="0.2">
      <c r="A26" s="3" t="s">
        <v>6</v>
      </c>
      <c r="B26" s="1"/>
      <c r="C26" s="1"/>
      <c r="D26" s="1"/>
      <c r="E26" s="1"/>
      <c r="F26" s="346" t="str">
        <f>'AC - Example'!G26</f>
        <v>Enter Data</v>
      </c>
    </row>
    <row r="27" spans="1:6" x14ac:dyDescent="0.2">
      <c r="A27" s="3" t="s">
        <v>8</v>
      </c>
      <c r="B27" s="1"/>
      <c r="C27" s="1"/>
      <c r="D27" s="1"/>
      <c r="E27" s="1"/>
      <c r="F27" s="346" t="str">
        <f>'AC - Example'!G27</f>
        <v>Enter Data</v>
      </c>
    </row>
    <row r="28" spans="1:6" x14ac:dyDescent="0.2">
      <c r="A28" s="3" t="s">
        <v>9</v>
      </c>
      <c r="B28" s="1"/>
      <c r="C28" s="1"/>
      <c r="D28" s="1"/>
      <c r="E28" s="1"/>
      <c r="F28" s="346" t="str">
        <f>'AC - Example'!G28</f>
        <v>Enter Data</v>
      </c>
    </row>
    <row r="29" spans="1:6" x14ac:dyDescent="0.2">
      <c r="A29" s="3" t="s">
        <v>12</v>
      </c>
      <c r="B29" s="1"/>
      <c r="C29" s="1"/>
      <c r="D29" s="1"/>
      <c r="E29" s="1"/>
      <c r="F29" s="346" t="str">
        <f>'AC - Example'!G29</f>
        <v>Enter Data</v>
      </c>
    </row>
    <row r="30" spans="1:6" x14ac:dyDescent="0.2">
      <c r="A30" s="3" t="s">
        <v>18</v>
      </c>
      <c r="B30" s="1"/>
      <c r="C30" s="1"/>
      <c r="D30" s="1"/>
      <c r="E30" s="1"/>
      <c r="F30" s="346" t="str">
        <f>'AC - Example'!G30</f>
        <v>Enter Data</v>
      </c>
    </row>
    <row r="31" spans="1:6" x14ac:dyDescent="0.2">
      <c r="A31" s="3" t="s">
        <v>10</v>
      </c>
      <c r="B31" s="1"/>
      <c r="C31" s="1"/>
      <c r="D31" s="1"/>
      <c r="E31" s="1"/>
      <c r="F31" s="346" t="str">
        <f>'AC - Example'!G31</f>
        <v>Enter Data</v>
      </c>
    </row>
    <row r="32" spans="1:6" x14ac:dyDescent="0.2">
      <c r="A32" s="3" t="s">
        <v>11</v>
      </c>
      <c r="B32" s="1"/>
      <c r="C32" s="1"/>
      <c r="D32" s="1"/>
      <c r="E32" s="1"/>
      <c r="F32" s="346" t="str">
        <f>'AC - Example'!G32</f>
        <v>Enter Data</v>
      </c>
    </row>
    <row r="33" spans="1:6" s="250" customFormat="1" ht="22.5" x14ac:dyDescent="0.2">
      <c r="A33" s="6" t="s">
        <v>19</v>
      </c>
      <c r="B33" s="6" t="s">
        <v>23</v>
      </c>
      <c r="C33" s="6" t="s">
        <v>24</v>
      </c>
      <c r="D33" s="6" t="s">
        <v>20</v>
      </c>
      <c r="E33" s="6" t="s">
        <v>25</v>
      </c>
      <c r="F33" s="6" t="s">
        <v>21</v>
      </c>
    </row>
    <row r="34" spans="1:6" x14ac:dyDescent="0.2">
      <c r="A34" s="108">
        <f>'AC - Example'!A34</f>
        <v>1</v>
      </c>
      <c r="B34" s="4" t="str">
        <f>'AC - Example'!C34</f>
        <v>LEASE</v>
      </c>
      <c r="C34" s="4" t="str">
        <f>'AC - Example'!D34</f>
        <v>DV</v>
      </c>
      <c r="D34" s="4" t="str">
        <f>'AC - Example'!E34</f>
        <v>BEGB</v>
      </c>
      <c r="E34" s="126"/>
      <c r="F34" s="308">
        <f>'AC - Example'!G34</f>
        <v>0</v>
      </c>
    </row>
    <row r="35" spans="1:6" x14ac:dyDescent="0.2">
      <c r="A35" s="108">
        <f>'AC - Example'!A35</f>
        <v>2</v>
      </c>
      <c r="B35" s="4" t="str">
        <f>'AC - Example'!C35</f>
        <v>ABC</v>
      </c>
      <c r="C35" s="4" t="str">
        <f>'AC - Example'!D35</f>
        <v>DV</v>
      </c>
      <c r="D35" s="4" t="str">
        <f>'AC - Example'!E35</f>
        <v>EPPD</v>
      </c>
      <c r="E35" s="126"/>
      <c r="F35" s="308">
        <f>'AC - Example'!G35</f>
        <v>0</v>
      </c>
    </row>
    <row r="36" spans="1:6" x14ac:dyDescent="0.2">
      <c r="A36" s="108">
        <f>'AC - Example'!A36</f>
        <v>3</v>
      </c>
      <c r="B36" s="4" t="str">
        <f>'AC - Example'!C36</f>
        <v>ABC</v>
      </c>
      <c r="C36" s="4" t="str">
        <f>'AC - Example'!D36</f>
        <v>DV</v>
      </c>
      <c r="D36" s="4" t="str">
        <f>'AC - Example'!E36</f>
        <v>CPD</v>
      </c>
      <c r="E36" s="126"/>
      <c r="F36" s="308">
        <f>'AC - Example'!G36</f>
        <v>0</v>
      </c>
    </row>
    <row r="37" spans="1:6" x14ac:dyDescent="0.2">
      <c r="A37" s="108">
        <f>'AC - Example'!A37</f>
        <v>4</v>
      </c>
      <c r="B37" s="4" t="str">
        <f>'AC - Example'!C37</f>
        <v>ABC</v>
      </c>
      <c r="C37" s="4" t="str">
        <f>'AC - Example'!D37</f>
        <v>DV</v>
      </c>
      <c r="D37" s="4" t="str">
        <f>'AC - Example'!E37</f>
        <v>CWP</v>
      </c>
      <c r="E37" s="126"/>
      <c r="F37" s="308">
        <f>'AC - Example'!G37</f>
        <v>1500000.12</v>
      </c>
    </row>
    <row r="38" spans="1:6" x14ac:dyDescent="0.2">
      <c r="A38" s="108">
        <f>'AC - Example'!A38</f>
        <v>5</v>
      </c>
      <c r="B38" s="4" t="str">
        <f>'AC - Example'!C38</f>
        <v>ABC</v>
      </c>
      <c r="C38" s="4" t="str">
        <f>'AC - Example'!D38</f>
        <v>DV</v>
      </c>
      <c r="D38" s="4" t="str">
        <f>'AC - Example'!E38</f>
        <v>DCW</v>
      </c>
      <c r="E38" s="126"/>
      <c r="F38" s="308">
        <f>'AC - Example'!G38</f>
        <v>1000000.56</v>
      </c>
    </row>
    <row r="39" spans="1:6" x14ac:dyDescent="0.2">
      <c r="A39" s="108">
        <f>'AC - Example'!A39</f>
        <v>6</v>
      </c>
      <c r="B39" s="4" t="str">
        <f>'AC - Example'!C39</f>
        <v>ABC</v>
      </c>
      <c r="C39" s="4" t="str">
        <f>'AC - Example'!D39</f>
        <v>DV</v>
      </c>
      <c r="D39" s="4" t="str">
        <f>'AC - Example'!E39</f>
        <v>WLE</v>
      </c>
      <c r="E39" s="126"/>
      <c r="F39" s="308">
        <f>'AC - Example'!G39</f>
        <v>100000.77</v>
      </c>
    </row>
    <row r="40" spans="1:6" x14ac:dyDescent="0.2">
      <c r="A40" s="108">
        <f>'AC - Example'!A40</f>
        <v>7</v>
      </c>
      <c r="B40" s="4" t="str">
        <f>'AC - Example'!C40</f>
        <v>LEASE</v>
      </c>
      <c r="C40" s="4" t="str">
        <f>'AC - Example'!D40</f>
        <v>DV</v>
      </c>
      <c r="D40" s="4" t="str">
        <f>'AC - Example'!E40</f>
        <v>AAOH</v>
      </c>
      <c r="E40" s="126"/>
      <c r="F40" s="308">
        <f>'AC - Example'!G40</f>
        <v>0</v>
      </c>
    </row>
    <row r="41" spans="1:6" x14ac:dyDescent="0.2">
      <c r="A41" s="108">
        <f>'AC - Example'!A41</f>
        <v>8</v>
      </c>
      <c r="B41" s="4" t="str">
        <f>'AC - Example'!C41</f>
        <v>LEASE</v>
      </c>
      <c r="C41" s="4" t="str">
        <f>'AC - Example'!D41</f>
        <v>DV</v>
      </c>
      <c r="D41" s="4" t="str">
        <f>'AC - Example'!E41</f>
        <v>TOI</v>
      </c>
      <c r="E41" s="126"/>
      <c r="F41" s="308">
        <f>'AC - Example'!G41</f>
        <v>2600001.4500000002</v>
      </c>
    </row>
    <row r="42" spans="1:6" x14ac:dyDescent="0.2">
      <c r="A42" s="108">
        <f>'AC - Example'!A42</f>
        <v>9</v>
      </c>
      <c r="B42" s="4" t="str">
        <f>'AC - Example'!C42</f>
        <v>LEASE</v>
      </c>
      <c r="C42" s="4" t="str">
        <f>'AC - Example'!D42</f>
        <v>DV</v>
      </c>
      <c r="D42" s="4" t="str">
        <f>'AC - Example'!E42</f>
        <v>OVHR</v>
      </c>
      <c r="E42" s="127">
        <f>'AC - Example'!F42</f>
        <v>0.03</v>
      </c>
      <c r="F42" s="308"/>
    </row>
    <row r="43" spans="1:6" x14ac:dyDescent="0.2">
      <c r="A43" s="108">
        <f>'AC - Example'!A43</f>
        <v>10</v>
      </c>
      <c r="B43" s="4" t="str">
        <f>'AC - Example'!C43</f>
        <v>LEASE</v>
      </c>
      <c r="C43" s="4" t="str">
        <f>'AC - Example'!D43</f>
        <v>DV</v>
      </c>
      <c r="D43" s="4" t="str">
        <f>'AC - Example'!E43</f>
        <v>GOAE</v>
      </c>
      <c r="E43" s="126"/>
      <c r="F43" s="308">
        <f>'AC - Example'!G43</f>
        <v>78000.039999999994</v>
      </c>
    </row>
    <row r="44" spans="1:6" x14ac:dyDescent="0.2">
      <c r="A44" s="108">
        <f>'AC - Example'!A44</f>
        <v>11</v>
      </c>
      <c r="B44" s="4" t="str">
        <f>'AC - Example'!C44</f>
        <v>ABC</v>
      </c>
      <c r="C44" s="4" t="str">
        <f>'AC - Example'!D44</f>
        <v>DV</v>
      </c>
      <c r="D44" s="4" t="str">
        <f>'AC - Example'!E44</f>
        <v>RLP</v>
      </c>
      <c r="E44" s="126"/>
      <c r="F44" s="308">
        <f>'AC - Example'!G44</f>
        <v>0</v>
      </c>
    </row>
    <row r="45" spans="1:6" x14ac:dyDescent="0.2">
      <c r="A45" s="108">
        <f>'AC - Example'!A45</f>
        <v>12</v>
      </c>
      <c r="B45" s="4" t="str">
        <f>'AC - Example'!C45</f>
        <v>ABC</v>
      </c>
      <c r="C45" s="4" t="str">
        <f>'AC - Example'!D45</f>
        <v>DV</v>
      </c>
      <c r="D45" s="4" t="str">
        <f>'AC - Example'!E45</f>
        <v>API</v>
      </c>
      <c r="E45" s="126"/>
      <c r="F45" s="308">
        <f>'AC - Example'!G45</f>
        <v>0</v>
      </c>
    </row>
    <row r="46" spans="1:6" x14ac:dyDescent="0.2">
      <c r="A46" s="108">
        <f>'AC - Example'!A46</f>
        <v>13</v>
      </c>
      <c r="B46" s="4" t="str">
        <f>'AC - Example'!C46</f>
        <v>ABC</v>
      </c>
      <c r="C46" s="4" t="str">
        <f>'AC - Example'!D46</f>
        <v>DV</v>
      </c>
      <c r="D46" s="4" t="str">
        <f>'AC - Example'!E46</f>
        <v>PPT</v>
      </c>
      <c r="E46" s="126"/>
      <c r="F46" s="308">
        <f>'AC - Example'!G46</f>
        <v>0</v>
      </c>
    </row>
    <row r="47" spans="1:6" x14ac:dyDescent="0.2">
      <c r="A47" s="108">
        <f>'AC - Example'!A47</f>
        <v>14</v>
      </c>
      <c r="B47" s="4" t="str">
        <f>'AC - Example'!C47</f>
        <v>ABC</v>
      </c>
      <c r="C47" s="4" t="str">
        <f>'AC - Example'!D47</f>
        <v>DV</v>
      </c>
      <c r="D47" s="4" t="str">
        <f>'AC - Example'!E47</f>
        <v>RTO</v>
      </c>
      <c r="E47" s="126"/>
      <c r="F47" s="308">
        <f>'AC - Example'!G47</f>
        <v>0</v>
      </c>
    </row>
    <row r="48" spans="1:6" x14ac:dyDescent="0.2">
      <c r="A48" s="108">
        <f>'AC - Example'!A48</f>
        <v>15</v>
      </c>
      <c r="B48" s="4" t="str">
        <f>'AC - Example'!C48</f>
        <v>ABC</v>
      </c>
      <c r="C48" s="4" t="str">
        <f>'AC - Example'!D48</f>
        <v>DV</v>
      </c>
      <c r="D48" s="4" t="str">
        <f>'AC - Example'!E48</f>
        <v>EIC</v>
      </c>
      <c r="E48" s="126"/>
      <c r="F48" s="308">
        <f>'AC - Example'!G48</f>
        <v>0</v>
      </c>
    </row>
    <row r="49" spans="1:6" x14ac:dyDescent="0.2">
      <c r="A49" s="108">
        <f>'AC - Example'!A49</f>
        <v>16</v>
      </c>
      <c r="B49" s="4" t="str">
        <f>'AC - Example'!C49</f>
        <v>LEASE</v>
      </c>
      <c r="C49" s="4" t="str">
        <f>'AC - Example'!D49</f>
        <v>DV</v>
      </c>
      <c r="D49" s="4" t="str">
        <f>'AC - Example'!E49</f>
        <v>PTDC</v>
      </c>
      <c r="E49" s="126"/>
      <c r="F49" s="308">
        <f>'AC - Example'!G49</f>
        <v>0</v>
      </c>
    </row>
    <row r="50" spans="1:6" x14ac:dyDescent="0.2">
      <c r="A50" s="108">
        <f>'AC - Example'!A50</f>
        <v>17</v>
      </c>
      <c r="B50" s="4" t="str">
        <f>'AC - Example'!C50</f>
        <v>LEASE</v>
      </c>
      <c r="C50" s="4" t="str">
        <f>'AC - Example'!D50</f>
        <v>DV</v>
      </c>
      <c r="D50" s="4" t="str">
        <f>'AC - Example'!E50</f>
        <v>AANOH</v>
      </c>
      <c r="E50" s="126"/>
      <c r="F50" s="308">
        <f>'AC - Example'!G50</f>
        <v>0</v>
      </c>
    </row>
    <row r="51" spans="1:6" x14ac:dyDescent="0.2">
      <c r="A51" s="108">
        <f>'AC - Example'!A51</f>
        <v>18</v>
      </c>
      <c r="B51" s="4" t="str">
        <f>'AC - Example'!C51</f>
        <v>LEASE</v>
      </c>
      <c r="C51" s="4" t="str">
        <f>'AC - Example'!D51</f>
        <v>DV</v>
      </c>
      <c r="D51" s="4" t="str">
        <f>'AC - Example'!E51</f>
        <v>CAPF</v>
      </c>
      <c r="E51" s="126"/>
      <c r="F51" s="308">
        <f>'AC - Example'!G51</f>
        <v>768000.12</v>
      </c>
    </row>
    <row r="52" spans="1:6" x14ac:dyDescent="0.2">
      <c r="A52" s="108">
        <f>'AC - Example'!A52</f>
        <v>19</v>
      </c>
      <c r="B52" s="4" t="str">
        <f>'AC - Example'!C52</f>
        <v>LEASE</v>
      </c>
      <c r="C52" s="4" t="str">
        <f>'AC - Example'!D52</f>
        <v>DV</v>
      </c>
      <c r="D52" s="4" t="str">
        <f>'AC - Example'!E52</f>
        <v>TOTDC</v>
      </c>
      <c r="E52" s="126"/>
      <c r="F52" s="308">
        <f>'AC - Example'!G52</f>
        <v>3446001.6100000003</v>
      </c>
    </row>
    <row r="53" spans="1:6" x14ac:dyDescent="0.2">
      <c r="A53" s="108">
        <f>'AC - Example'!A53</f>
        <v>20</v>
      </c>
      <c r="B53" s="4" t="str">
        <f>'AC - Example'!C53</f>
        <v>LEASE</v>
      </c>
      <c r="C53" s="4" t="str">
        <f>'AC - Example'!D53</f>
        <v>DV</v>
      </c>
      <c r="D53" s="4" t="str">
        <f>'AC - Example'!E53</f>
        <v>CPR</v>
      </c>
      <c r="E53" s="126"/>
      <c r="F53" s="308">
        <f>'AC - Example'!G53</f>
        <v>-48925076.965499997</v>
      </c>
    </row>
    <row r="54" spans="1:6" x14ac:dyDescent="0.2">
      <c r="A54" s="108">
        <f>'AC - Example'!A54</f>
        <v>21</v>
      </c>
      <c r="B54" s="4" t="str">
        <f>'AC - Example'!C54</f>
        <v>LEASE</v>
      </c>
      <c r="C54" s="4" t="str">
        <f>'AC - Example'!D54</f>
        <v>DV</v>
      </c>
      <c r="D54" s="4" t="str">
        <f>'AC - Example'!E54</f>
        <v>PEB</v>
      </c>
      <c r="E54" s="126"/>
      <c r="F54" s="308">
        <f>'AC - Example'!G54</f>
        <v>-45479075.355499998</v>
      </c>
    </row>
    <row r="55" spans="1:6" x14ac:dyDescent="0.2">
      <c r="A55" s="108">
        <f>'AC - Example'!A55</f>
        <v>22</v>
      </c>
      <c r="B55" s="4" t="str">
        <f>'AC - Example'!C55</f>
        <v>LEASE</v>
      </c>
      <c r="C55" s="4" t="str">
        <f>'AC - Example'!D55</f>
        <v>DV</v>
      </c>
      <c r="D55" s="4" t="str">
        <f>'AC - Example'!E55</f>
        <v>PRIN</v>
      </c>
      <c r="E55" s="126"/>
      <c r="F55" s="308">
        <f>'AC - Example'!G55</f>
        <v>0</v>
      </c>
    </row>
    <row r="56" spans="1:6" x14ac:dyDescent="0.2">
      <c r="A56" s="108">
        <f>'AC - Example'!A56</f>
        <v>23</v>
      </c>
      <c r="B56" s="4" t="str">
        <f>'AC - Example'!C56</f>
        <v>LEASE</v>
      </c>
      <c r="C56" s="4" t="str">
        <f>'AC - Example'!D56</f>
        <v>DV</v>
      </c>
      <c r="D56" s="4" t="str">
        <f>'AC - Example'!E56</f>
        <v>IR</v>
      </c>
      <c r="E56" s="127">
        <f>'AC - Example'!F56</f>
        <v>6.4516E-3</v>
      </c>
      <c r="F56" s="308"/>
    </row>
    <row r="57" spans="1:6" x14ac:dyDescent="0.2">
      <c r="A57" s="108">
        <f>'AC - Example'!A57</f>
        <v>24</v>
      </c>
      <c r="B57" s="4" t="str">
        <f>'AC - Example'!C57</f>
        <v>LEASE</v>
      </c>
      <c r="C57" s="4" t="str">
        <f>'AC - Example'!D57</f>
        <v>DV</v>
      </c>
      <c r="D57" s="4" t="str">
        <f>'AC - Example'!E57</f>
        <v>AINT</v>
      </c>
      <c r="E57" s="126"/>
      <c r="F57" s="308">
        <f>'AC - Example'!G57</f>
        <v>0</v>
      </c>
    </row>
    <row r="58" spans="1:6" x14ac:dyDescent="0.2">
      <c r="A58" s="108">
        <f>'AC - Example'!A58</f>
        <v>25</v>
      </c>
      <c r="B58" s="4" t="str">
        <f>'AC - Example'!C58</f>
        <v>LEASE</v>
      </c>
      <c r="C58" s="4" t="str">
        <f>'AC - Example'!D58</f>
        <v>DV</v>
      </c>
      <c r="D58" s="4" t="str">
        <f>'AC - Example'!E58</f>
        <v>DEV</v>
      </c>
      <c r="E58" s="126"/>
      <c r="F58" s="308">
        <f>'AC - Example'!G58</f>
        <v>-45479075.355499998</v>
      </c>
    </row>
    <row r="59" spans="1:6" x14ac:dyDescent="0.2">
      <c r="A59" s="108">
        <f>'AC - Example'!A59</f>
        <v>26</v>
      </c>
      <c r="B59" s="4" t="str">
        <f>'AC - Example'!C59</f>
        <v>LEASE</v>
      </c>
      <c r="C59" s="4" t="str">
        <f>'AC - Example'!D59</f>
        <v>DV</v>
      </c>
      <c r="D59" s="4" t="str">
        <f>'AC - Example'!E59</f>
        <v>ENDB</v>
      </c>
      <c r="E59" s="126"/>
      <c r="F59" s="308">
        <f>'AC - Example'!G59</f>
        <v>-45479075.355499998</v>
      </c>
    </row>
    <row r="60" spans="1:6" x14ac:dyDescent="0.2">
      <c r="A60" s="108">
        <f>'AC - Example'!A60</f>
        <v>27</v>
      </c>
      <c r="B60" s="4" t="str">
        <f>'AC - Example'!C60</f>
        <v>LEASE</v>
      </c>
      <c r="C60" s="4" t="str">
        <f>'AC - Example'!D60</f>
        <v>NP</v>
      </c>
      <c r="D60" s="4" t="str">
        <f>'AC - Example'!E60</f>
        <v>DEV</v>
      </c>
      <c r="E60" s="126"/>
      <c r="F60" s="308">
        <f>'AC - Example'!G60</f>
        <v>45479075.355499998</v>
      </c>
    </row>
    <row r="61" spans="1:6" x14ac:dyDescent="0.2">
      <c r="A61" s="108">
        <f>'AC - Example'!A61</f>
        <v>28</v>
      </c>
      <c r="B61" s="4" t="str">
        <f>'AC - Example'!C61</f>
        <v>LEASE</v>
      </c>
      <c r="C61" s="4" t="str">
        <f>'AC - Example'!D61</f>
        <v>NP</v>
      </c>
      <c r="D61" s="4" t="str">
        <f>'AC - Example'!E61</f>
        <v>NPR</v>
      </c>
      <c r="E61" s="127">
        <f>'AC - Example'!F61</f>
        <v>0.4</v>
      </c>
      <c r="F61" s="308"/>
    </row>
    <row r="62" spans="1:6" x14ac:dyDescent="0.2">
      <c r="A62" s="108">
        <f>'AC - Example'!A62</f>
        <v>29</v>
      </c>
      <c r="B62" s="4" t="str">
        <f>'AC - Example'!C62</f>
        <v>LEASE</v>
      </c>
      <c r="C62" s="4" t="str">
        <f>'AC - Example'!D62</f>
        <v>NP</v>
      </c>
      <c r="D62" s="4" t="str">
        <f>'AC - Example'!E62</f>
        <v>TAD</v>
      </c>
      <c r="E62" s="126"/>
      <c r="F62" s="308">
        <f>'AC - Example'!G62</f>
        <v>18191630.140000001</v>
      </c>
    </row>
    <row r="63" spans="1:6" x14ac:dyDescent="0.2">
      <c r="A63" s="108">
        <f>'AC - Example'!A63</f>
        <v>30</v>
      </c>
      <c r="B63" s="4" t="str">
        <f>'AC - Example'!C63</f>
        <v>LEASE</v>
      </c>
      <c r="C63" s="4" t="str">
        <f>'AC - Example'!D63</f>
        <v>NP</v>
      </c>
      <c r="D63" s="4" t="str">
        <f>'AC - Example'!E63</f>
        <v>REVPD</v>
      </c>
      <c r="E63" s="126"/>
      <c r="F63" s="308">
        <f>'AC - Example'!G63</f>
        <v>1055.77</v>
      </c>
    </row>
    <row r="64" spans="1:6" x14ac:dyDescent="0.2">
      <c r="A64" s="108">
        <f>'AC - Example'!A64</f>
        <v>31</v>
      </c>
      <c r="B64" s="4" t="str">
        <f>'AC - Example'!C64</f>
        <v>LEASE</v>
      </c>
      <c r="C64" s="4" t="str">
        <f>'AC - Example'!D64</f>
        <v>NP</v>
      </c>
      <c r="D64" s="4" t="str">
        <f>'AC - Example'!E64</f>
        <v>REVID</v>
      </c>
      <c r="E64" s="126"/>
      <c r="F64" s="308">
        <f>'AC - Example'!G64</f>
        <v>8.8918334016393441</v>
      </c>
    </row>
    <row r="65" spans="1:6" x14ac:dyDescent="0.2">
      <c r="A65" s="108">
        <f>'AC - Example'!A65</f>
        <v>32</v>
      </c>
      <c r="B65" s="4" t="str">
        <f>'AC - Example'!C65</f>
        <v>LEASE</v>
      </c>
      <c r="C65" s="4" t="str">
        <f>'AC - Example'!D65</f>
        <v>NP</v>
      </c>
      <c r="D65" s="4" t="str">
        <f>'AC - Example'!E65</f>
        <v>REVTD</v>
      </c>
      <c r="E65" s="126"/>
      <c r="F65" s="308">
        <f>'AC - Example'!G65</f>
        <v>1064.6618334016393</v>
      </c>
    </row>
    <row r="66" spans="1:6" x14ac:dyDescent="0.2">
      <c r="A66" s="108">
        <f>'AC - Example'!A66</f>
        <v>33</v>
      </c>
      <c r="B66" s="4" t="str">
        <f>'AC - Example'!C66</f>
        <v>LEASE</v>
      </c>
      <c r="C66" s="4" t="str">
        <f>'AC - Example'!D66</f>
        <v>PR</v>
      </c>
      <c r="D66" s="4" t="str">
        <f>'AC - Example'!E66</f>
        <v>BEGB</v>
      </c>
      <c r="E66" s="126"/>
      <c r="F66" s="308">
        <f>'AC - Example'!G66</f>
        <v>0</v>
      </c>
    </row>
    <row r="67" spans="1:6" x14ac:dyDescent="0.2">
      <c r="A67" s="108">
        <f>'AC - Example'!A67</f>
        <v>34</v>
      </c>
      <c r="B67" s="4" t="str">
        <f>'AC - Example'!C67</f>
        <v>ABC</v>
      </c>
      <c r="C67" s="4" t="str">
        <f>'AC - Example'!D67</f>
        <v>PR</v>
      </c>
      <c r="D67" s="4" t="str">
        <f>'AC - Example'!E67</f>
        <v>TCR</v>
      </c>
      <c r="E67" s="126"/>
      <c r="F67" s="308">
        <f>'AC - Example'!G67</f>
        <v>-70353882.5</v>
      </c>
    </row>
    <row r="68" spans="1:6" x14ac:dyDescent="0.2">
      <c r="A68" s="108">
        <f>'AC - Example'!A68</f>
        <v>35</v>
      </c>
      <c r="B68" s="4" t="str">
        <f>'AC - Example'!C68</f>
        <v>ABC</v>
      </c>
      <c r="C68" s="4" t="str">
        <f>'AC - Example'!D68</f>
        <v>PR</v>
      </c>
      <c r="D68" s="4" t="str">
        <f>'AC - Example'!E68</f>
        <v>PO</v>
      </c>
      <c r="E68" s="126"/>
      <c r="F68" s="308">
        <f>'AC - Example'!G68</f>
        <v>3000.66</v>
      </c>
    </row>
    <row r="69" spans="1:6" x14ac:dyDescent="0.2">
      <c r="A69" s="108">
        <f>'AC - Example'!A69</f>
        <v>36</v>
      </c>
      <c r="B69" s="4" t="str">
        <f>'AC - Example'!C69</f>
        <v>ABC</v>
      </c>
      <c r="C69" s="4" t="str">
        <f>'AC - Example'!D69</f>
        <v>PR</v>
      </c>
      <c r="D69" s="4" t="str">
        <f>'AC - Example'!E69</f>
        <v>DL</v>
      </c>
      <c r="E69" s="126"/>
      <c r="F69" s="308">
        <f>'AC - Example'!G69</f>
        <v>0</v>
      </c>
    </row>
    <row r="70" spans="1:6" x14ac:dyDescent="0.2">
      <c r="A70" s="108">
        <f>'AC - Example'!A70</f>
        <v>37</v>
      </c>
      <c r="B70" s="4" t="str">
        <f>'AC - Example'!C70</f>
        <v>ABC</v>
      </c>
      <c r="C70" s="4" t="str">
        <f>'AC - Example'!D70</f>
        <v>PR</v>
      </c>
      <c r="D70" s="4" t="str">
        <f>'AC - Example'!E70</f>
        <v>OTH</v>
      </c>
      <c r="E70" s="126"/>
      <c r="F70" s="308">
        <f>'AC - Example'!G70</f>
        <v>1500.56</v>
      </c>
    </row>
    <row r="71" spans="1:6" x14ac:dyDescent="0.2">
      <c r="A71" s="108">
        <f>'AC - Example'!A71</f>
        <v>38</v>
      </c>
      <c r="B71" s="4" t="str">
        <f>'AC - Example'!C71</f>
        <v>LEASE</v>
      </c>
      <c r="C71" s="4" t="str">
        <f>'AC - Example'!D71</f>
        <v>PR</v>
      </c>
      <c r="D71" s="4" t="str">
        <f>'AC - Example'!E71</f>
        <v>LR</v>
      </c>
      <c r="E71" s="126"/>
      <c r="F71" s="308">
        <f>'AC - Example'!G71</f>
        <v>0</v>
      </c>
    </row>
    <row r="72" spans="1:6" x14ac:dyDescent="0.2">
      <c r="A72" s="108">
        <f>'AC - Example'!A72</f>
        <v>39</v>
      </c>
      <c r="B72" s="4" t="str">
        <f>'AC - Example'!C72</f>
        <v>LEASE</v>
      </c>
      <c r="C72" s="4" t="str">
        <f>'AC - Example'!D72</f>
        <v>PR</v>
      </c>
      <c r="D72" s="4" t="str">
        <f>'AC - Example'!E72</f>
        <v>AAOH</v>
      </c>
      <c r="E72" s="126"/>
      <c r="F72" s="308">
        <f>'AC - Example'!G72</f>
        <v>0</v>
      </c>
    </row>
    <row r="73" spans="1:6" x14ac:dyDescent="0.2">
      <c r="A73" s="108">
        <f>'AC - Example'!A73</f>
        <v>40</v>
      </c>
      <c r="B73" s="4" t="str">
        <f>'AC - Example'!C73</f>
        <v>LEASE</v>
      </c>
      <c r="C73" s="4" t="str">
        <f>'AC - Example'!D73</f>
        <v>PR</v>
      </c>
      <c r="D73" s="4" t="str">
        <f>'AC - Example'!E73</f>
        <v>TOI</v>
      </c>
      <c r="E73" s="126"/>
      <c r="F73" s="308">
        <f>'AC - Example'!G73</f>
        <v>4501.2199999999993</v>
      </c>
    </row>
    <row r="74" spans="1:6" x14ac:dyDescent="0.2">
      <c r="A74" s="108">
        <f>'AC - Example'!A74</f>
        <v>41</v>
      </c>
      <c r="B74" s="4" t="str">
        <f>'AC - Example'!C74</f>
        <v>LEASE</v>
      </c>
      <c r="C74" s="4" t="str">
        <f>'AC - Example'!D74</f>
        <v>PR</v>
      </c>
      <c r="D74" s="4" t="str">
        <f>'AC - Example'!E74</f>
        <v>OVHR</v>
      </c>
      <c r="E74" s="127">
        <f>'AC - Example'!F74</f>
        <v>0.09</v>
      </c>
      <c r="F74" s="308"/>
    </row>
    <row r="75" spans="1:6" x14ac:dyDescent="0.2">
      <c r="A75" s="108">
        <f>'AC - Example'!A75</f>
        <v>42</v>
      </c>
      <c r="B75" s="4" t="str">
        <f>'AC - Example'!C75</f>
        <v>LEASE</v>
      </c>
      <c r="C75" s="4" t="str">
        <f>'AC - Example'!D75</f>
        <v>PR</v>
      </c>
      <c r="D75" s="4" t="str">
        <f>'AC - Example'!E75</f>
        <v>GOAE</v>
      </c>
      <c r="E75" s="126"/>
      <c r="F75" s="308">
        <f>'AC - Example'!G75</f>
        <v>405.11</v>
      </c>
    </row>
    <row r="76" spans="1:6" x14ac:dyDescent="0.2">
      <c r="A76" s="108">
        <f>'AC - Example'!A76</f>
        <v>43</v>
      </c>
      <c r="B76" s="4" t="str">
        <f>'AC - Example'!C76</f>
        <v>ABC</v>
      </c>
      <c r="C76" s="4" t="str">
        <f>'AC - Example'!D76</f>
        <v>PR</v>
      </c>
      <c r="D76" s="4" t="str">
        <f>'AC - Example'!E76</f>
        <v>TAC</v>
      </c>
      <c r="E76" s="126"/>
      <c r="F76" s="308">
        <f>'AC - Example'!G76</f>
        <v>142910.41</v>
      </c>
    </row>
    <row r="77" spans="1:6" x14ac:dyDescent="0.2">
      <c r="A77" s="108">
        <f>'AC - Example'!A77</f>
        <v>44</v>
      </c>
      <c r="B77" s="4" t="str">
        <f>'AC - Example'!C77</f>
        <v>LEASE</v>
      </c>
      <c r="C77" s="4" t="str">
        <f>'AC - Example'!D77</f>
        <v>PR</v>
      </c>
      <c r="D77" s="4" t="str">
        <f>'AC - Example'!E77</f>
        <v>PTLA</v>
      </c>
      <c r="E77" s="126"/>
      <c r="F77" s="308">
        <f>'AC - Example'!G77</f>
        <v>12480252.464500001</v>
      </c>
    </row>
    <row r="78" spans="1:6" x14ac:dyDescent="0.2">
      <c r="A78" s="108">
        <f>'AC - Example'!A78</f>
        <v>45</v>
      </c>
      <c r="B78" s="4" t="str">
        <f>'AC - Example'!C78</f>
        <v>LEASE</v>
      </c>
      <c r="C78" s="4" t="str">
        <f>'AC - Example'!D78</f>
        <v>PR</v>
      </c>
      <c r="D78" s="4" t="str">
        <f>'AC - Example'!E78</f>
        <v>PTLRC</v>
      </c>
      <c r="E78" s="126"/>
      <c r="F78" s="308">
        <f>'AC - Example'!G78</f>
        <v>0</v>
      </c>
    </row>
    <row r="79" spans="1:6" x14ac:dyDescent="0.2">
      <c r="A79" s="108">
        <f>'AC - Example'!A79</f>
        <v>46</v>
      </c>
      <c r="B79" s="4" t="str">
        <f>'AC - Example'!C79</f>
        <v>ABC</v>
      </c>
      <c r="C79" s="4" t="str">
        <f>'AC - Example'!D79</f>
        <v>PR</v>
      </c>
      <c r="D79" s="4" t="str">
        <f>'AC - Example'!E79</f>
        <v>AVT</v>
      </c>
      <c r="E79" s="126"/>
      <c r="F79" s="308">
        <f>'AC - Example'!G79</f>
        <v>1500.88</v>
      </c>
    </row>
    <row r="80" spans="1:6" x14ac:dyDescent="0.2">
      <c r="A80" s="108">
        <f>'AC - Example'!A80</f>
        <v>47</v>
      </c>
      <c r="B80" s="4" t="str">
        <f>'AC - Example'!C80</f>
        <v>ABC</v>
      </c>
      <c r="C80" s="4" t="str">
        <f>'AC - Example'!D80</f>
        <v>PR</v>
      </c>
      <c r="D80" s="4" t="str">
        <f>'AC - Example'!E80</f>
        <v>NOP</v>
      </c>
      <c r="E80" s="126"/>
      <c r="F80" s="308">
        <f>'AC - Example'!G80</f>
        <v>5000.12</v>
      </c>
    </row>
    <row r="81" spans="1:6" x14ac:dyDescent="0.2">
      <c r="A81" s="108">
        <f>'AC - Example'!A81</f>
        <v>48</v>
      </c>
      <c r="B81" s="4" t="str">
        <f>'AC - Example'!C81</f>
        <v>LEASE</v>
      </c>
      <c r="C81" s="4" t="str">
        <f>'AC - Example'!D81</f>
        <v>PR</v>
      </c>
      <c r="D81" s="4" t="str">
        <f>'AC - Example'!E81</f>
        <v>AANOH</v>
      </c>
      <c r="E81" s="126"/>
      <c r="F81" s="308">
        <f>'AC - Example'!G81</f>
        <v>0</v>
      </c>
    </row>
    <row r="82" spans="1:6" x14ac:dyDescent="0.2">
      <c r="A82" s="108">
        <f>'AC - Example'!A82</f>
        <v>49</v>
      </c>
      <c r="B82" s="4" t="str">
        <f>'AC - Example'!C82</f>
        <v>LEASE</v>
      </c>
      <c r="C82" s="4" t="str">
        <f>'AC - Example'!D82</f>
        <v>PR</v>
      </c>
      <c r="D82" s="4" t="str">
        <f>'AC - Example'!E82</f>
        <v>TDC</v>
      </c>
      <c r="E82" s="126"/>
      <c r="F82" s="308">
        <f>'AC - Example'!G82</f>
        <v>12630068.9845</v>
      </c>
    </row>
    <row r="83" spans="1:6" x14ac:dyDescent="0.2">
      <c r="A83" s="108">
        <f>'AC - Example'!A83</f>
        <v>50</v>
      </c>
      <c r="B83" s="4" t="str">
        <f>'AC - Example'!C83</f>
        <v>ABC</v>
      </c>
      <c r="C83" s="4" t="str">
        <f>'AC - Example'!D83</f>
        <v>PR</v>
      </c>
      <c r="D83" s="4" t="str">
        <f>'AC - Example'!E83</f>
        <v>TRYE</v>
      </c>
      <c r="E83" s="126"/>
      <c r="F83" s="308">
        <f>'AC - Example'!G83</f>
        <v>8794235.3300000001</v>
      </c>
    </row>
    <row r="84" spans="1:6" x14ac:dyDescent="0.2">
      <c r="A84" s="108">
        <f>'AC - Example'!A84</f>
        <v>51</v>
      </c>
      <c r="B84" s="4" t="str">
        <f>'AC - Example'!C84</f>
        <v>LEASE</v>
      </c>
      <c r="C84" s="4" t="str">
        <f>'AC - Example'!D84</f>
        <v>PR</v>
      </c>
      <c r="D84" s="4" t="str">
        <f>'AC - Example'!E84</f>
        <v>TDB</v>
      </c>
      <c r="E84" s="126"/>
      <c r="F84" s="308">
        <f>'AC - Example'!G84</f>
        <v>21428805.534500003</v>
      </c>
    </row>
    <row r="85" spans="1:6" x14ac:dyDescent="0.2">
      <c r="A85" s="108">
        <f>'AC - Example'!A85</f>
        <v>52</v>
      </c>
      <c r="B85" s="4" t="str">
        <f>'AC - Example'!C85</f>
        <v>LEASE</v>
      </c>
      <c r="C85" s="4" t="str">
        <f>'AC - Example'!D85</f>
        <v>PR</v>
      </c>
      <c r="D85" s="4" t="str">
        <f>'AC - Example'!E85</f>
        <v>PREV</v>
      </c>
      <c r="E85" s="126"/>
      <c r="F85" s="308">
        <f>'AC - Example'!G85</f>
        <v>-48925076.965499997</v>
      </c>
    </row>
    <row r="86" spans="1:6" x14ac:dyDescent="0.2">
      <c r="A86" s="108">
        <f>'AC - Example'!A86</f>
        <v>53</v>
      </c>
      <c r="B86" s="4" t="str">
        <f>'AC - Example'!C86</f>
        <v>LEASE</v>
      </c>
      <c r="C86" s="4" t="str">
        <f>'AC - Example'!D86</f>
        <v>PR</v>
      </c>
      <c r="D86" s="4" t="str">
        <f>'AC - Example'!E86</f>
        <v>ENDB</v>
      </c>
      <c r="E86" s="126"/>
      <c r="F86" s="308">
        <f>'AC - Example'!G86</f>
        <v>0</v>
      </c>
    </row>
  </sheetData>
  <sheetProtection selectLockedCells="1"/>
  <phoneticPr fontId="2" type="noConversion"/>
  <conditionalFormatting sqref="A34:A86">
    <cfRule type="cellIs" dxfId="2" priority="1" stopIfTrue="1" operator="equal">
      <formula>"A32"</formula>
    </cfRule>
  </conditionalFormatting>
  <printOptions gridLines="1"/>
  <pageMargins left="0.75" right="0.75" top="1" bottom="1" header="0.5" footer="0.5"/>
  <pageSetup scale="66" orientation="portrait" r:id="rId1"/>
  <headerFooter alignWithMargins="0">
    <oddHeader>&amp;C&amp;G</oddHeader>
  </headerFooter>
  <ignoredErrors>
    <ignoredError sqref="A34:F86 F2:F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M95"/>
  <sheetViews>
    <sheetView topLeftCell="A37" zoomScaleNormal="100" workbookViewId="0">
      <selection activeCell="H69" sqref="H69"/>
    </sheetView>
  </sheetViews>
  <sheetFormatPr defaultRowHeight="11.25" x14ac:dyDescent="0.2"/>
  <cols>
    <col min="1" max="1" width="7" style="72" customWidth="1"/>
    <col min="2" max="2" width="1" style="72" customWidth="1"/>
    <col min="3" max="3" width="11.85546875" style="72" customWidth="1"/>
    <col min="4" max="4" width="9.7109375" style="72" customWidth="1"/>
    <col min="5" max="5" width="11.85546875" style="72" customWidth="1"/>
    <col min="6" max="6" width="9.140625" style="72"/>
    <col min="7" max="7" width="18.28515625" style="73" customWidth="1"/>
    <col min="8" max="8" width="40.5703125" style="252" customWidth="1"/>
    <col min="9" max="9" width="34.140625" style="252" bestFit="1" customWidth="1"/>
    <col min="10" max="16384" width="9.140625" style="252"/>
  </cols>
  <sheetData>
    <row r="1" spans="1:13" ht="30.75" customHeight="1" x14ac:dyDescent="0.2">
      <c r="A1" s="13" t="str">
        <f>' VV - Example'!A1</f>
        <v>ALASKA DNR - OIL &amp; GAS  V 1.201308</v>
      </c>
      <c r="B1" s="52"/>
      <c r="C1" s="251"/>
      <c r="D1" s="52"/>
      <c r="E1" s="52"/>
      <c r="F1" s="52"/>
      <c r="G1" s="295" t="str">
        <f>+' VV - Example'!H1</f>
        <v>EXAMPLE TEMPLATE, NOT TO BE USED FOR FILING REPORT</v>
      </c>
    </row>
    <row r="2" spans="1:13" x14ac:dyDescent="0.2">
      <c r="A2" s="19" t="s">
        <v>39</v>
      </c>
      <c r="B2" s="29"/>
      <c r="C2" s="31"/>
      <c r="D2" s="31" t="s">
        <v>302</v>
      </c>
      <c r="E2" s="31"/>
      <c r="F2" s="31"/>
      <c r="G2" s="55" t="s">
        <v>34</v>
      </c>
      <c r="H2" s="54"/>
      <c r="I2" s="54"/>
    </row>
    <row r="3" spans="1:13" x14ac:dyDescent="0.2">
      <c r="A3" s="29" t="s">
        <v>33</v>
      </c>
      <c r="B3" s="29"/>
      <c r="C3" s="31"/>
      <c r="D3" s="31" t="s">
        <v>301</v>
      </c>
      <c r="E3" s="31"/>
      <c r="F3" s="31"/>
      <c r="G3" s="55" t="s">
        <v>36</v>
      </c>
      <c r="H3" s="54"/>
      <c r="I3" s="54"/>
    </row>
    <row r="4" spans="1:13" x14ac:dyDescent="0.2">
      <c r="A4" s="32" t="s">
        <v>40</v>
      </c>
      <c r="B4" s="32"/>
      <c r="C4" s="35"/>
      <c r="D4" s="31"/>
      <c r="E4" s="35"/>
      <c r="F4" s="35"/>
      <c r="G4" s="347" t="str">
        <f>' VV - Example'!G4</f>
        <v>REG</v>
      </c>
      <c r="H4" s="55"/>
      <c r="I4" s="54"/>
    </row>
    <row r="5" spans="1:13" s="254" customFormat="1" x14ac:dyDescent="0.2">
      <c r="A5" s="29" t="s">
        <v>14</v>
      </c>
      <c r="B5" s="29"/>
      <c r="C5" s="31"/>
      <c r="D5" s="31"/>
      <c r="E5" s="31"/>
      <c r="F5" s="31"/>
      <c r="G5" s="347" t="str">
        <f>' VV - Example'!G5</f>
        <v>000012345</v>
      </c>
      <c r="H5" s="55"/>
      <c r="I5" s="56"/>
      <c r="J5" s="253"/>
      <c r="K5" s="253"/>
      <c r="L5" s="253"/>
      <c r="M5" s="253"/>
    </row>
    <row r="6" spans="1:13" s="255" customFormat="1" x14ac:dyDescent="0.2">
      <c r="A6" s="31"/>
      <c r="B6" s="31"/>
      <c r="C6" s="31"/>
      <c r="D6" s="31"/>
      <c r="E6" s="31"/>
      <c r="F6" s="31"/>
      <c r="G6" s="92"/>
      <c r="H6" s="54"/>
      <c r="I6" s="54"/>
      <c r="J6" s="252"/>
      <c r="K6" s="252"/>
      <c r="L6" s="252"/>
      <c r="M6" s="252"/>
    </row>
    <row r="7" spans="1:13" x14ac:dyDescent="0.2">
      <c r="A7" s="29" t="s">
        <v>15</v>
      </c>
      <c r="B7" s="29"/>
      <c r="C7" s="31"/>
      <c r="D7" s="31"/>
      <c r="E7" s="31"/>
      <c r="F7" s="31"/>
      <c r="G7" s="348">
        <f>' VV - Example'!G7</f>
        <v>41640</v>
      </c>
      <c r="H7" s="54"/>
      <c r="I7" s="54"/>
    </row>
    <row r="8" spans="1:13" x14ac:dyDescent="0.2">
      <c r="A8" s="29" t="s">
        <v>17</v>
      </c>
      <c r="B8" s="29"/>
      <c r="C8" s="31"/>
      <c r="D8" s="31"/>
      <c r="E8" s="31"/>
      <c r="F8" s="31"/>
      <c r="G8" s="347" t="str">
        <f>' VV - Example'!G8</f>
        <v>01</v>
      </c>
      <c r="H8" s="54"/>
      <c r="I8" s="54"/>
    </row>
    <row r="9" spans="1:13" x14ac:dyDescent="0.2">
      <c r="A9" s="29" t="s">
        <v>5</v>
      </c>
      <c r="B9" s="29"/>
      <c r="C9" s="31"/>
      <c r="D9" s="31"/>
      <c r="E9" s="31"/>
      <c r="F9" s="31"/>
      <c r="G9" s="348">
        <f>' VV - Example'!G9</f>
        <v>41699</v>
      </c>
      <c r="H9" s="54"/>
      <c r="I9" s="54"/>
    </row>
    <row r="10" spans="1:13" x14ac:dyDescent="0.2">
      <c r="A10" s="29" t="s">
        <v>16</v>
      </c>
      <c r="B10" s="29"/>
      <c r="C10" s="31"/>
      <c r="D10" s="31"/>
      <c r="E10" s="31"/>
      <c r="F10" s="31"/>
      <c r="G10" s="347" t="str">
        <f>' VV - Example'!G10</f>
        <v>000012345N03201400</v>
      </c>
      <c r="H10" s="54"/>
      <c r="I10" s="54"/>
    </row>
    <row r="11" spans="1:13" x14ac:dyDescent="0.2">
      <c r="A11" s="29" t="s">
        <v>13</v>
      </c>
      <c r="B11" s="29"/>
      <c r="C11" s="31"/>
      <c r="D11" s="31"/>
      <c r="E11" s="31"/>
      <c r="F11" s="31"/>
      <c r="G11" s="348">
        <f>' VV - Example'!G11</f>
        <v>41729</v>
      </c>
      <c r="H11" s="54"/>
      <c r="I11" s="54"/>
    </row>
    <row r="12" spans="1:13" x14ac:dyDescent="0.2">
      <c r="A12" s="29" t="s">
        <v>7</v>
      </c>
      <c r="B12" s="29"/>
      <c r="C12" s="31"/>
      <c r="D12" s="31"/>
      <c r="E12" s="31"/>
      <c r="F12" s="31"/>
      <c r="G12" s="347" t="str">
        <f>' VV - Example'!G12</f>
        <v>ADL #</v>
      </c>
      <c r="H12" s="54"/>
      <c r="I12" s="54"/>
    </row>
    <row r="13" spans="1:13" x14ac:dyDescent="0.2">
      <c r="A13" s="29"/>
      <c r="B13" s="29"/>
      <c r="C13" s="31"/>
      <c r="D13" s="31"/>
      <c r="E13" s="31"/>
      <c r="F13" s="31"/>
      <c r="G13" s="92"/>
      <c r="H13" s="54"/>
      <c r="I13" s="54"/>
    </row>
    <row r="14" spans="1:13" s="255" customFormat="1" ht="12" customHeight="1" x14ac:dyDescent="0.2">
      <c r="A14" s="29"/>
      <c r="B14" s="29"/>
      <c r="C14" s="31"/>
      <c r="D14" s="31"/>
      <c r="E14" s="31"/>
      <c r="F14" s="31"/>
      <c r="G14" s="92"/>
      <c r="H14" s="54"/>
      <c r="I14" s="54"/>
      <c r="J14" s="252"/>
      <c r="K14" s="252"/>
      <c r="L14" s="252"/>
      <c r="M14" s="252"/>
    </row>
    <row r="15" spans="1:13" x14ac:dyDescent="0.2">
      <c r="A15" s="29"/>
      <c r="B15" s="29"/>
      <c r="C15" s="31"/>
      <c r="D15" s="31"/>
      <c r="E15" s="31"/>
      <c r="F15" s="31"/>
      <c r="G15" s="92"/>
      <c r="H15" s="54"/>
      <c r="I15" s="54"/>
    </row>
    <row r="16" spans="1:13" x14ac:dyDescent="0.2">
      <c r="A16" s="29"/>
      <c r="B16" s="29"/>
      <c r="C16" s="31"/>
      <c r="D16" s="31"/>
      <c r="E16" s="31"/>
      <c r="F16" s="31"/>
      <c r="G16" s="92"/>
      <c r="H16" s="54"/>
      <c r="I16" s="54"/>
    </row>
    <row r="17" spans="1:9" x14ac:dyDescent="0.2">
      <c r="A17" s="29"/>
      <c r="B17" s="29"/>
      <c r="C17" s="31"/>
      <c r="D17" s="31"/>
      <c r="E17" s="31"/>
      <c r="F17" s="31"/>
      <c r="G17" s="92"/>
      <c r="H17" s="54"/>
      <c r="I17" s="54"/>
    </row>
    <row r="18" spans="1:9" x14ac:dyDescent="0.2">
      <c r="A18" s="93"/>
      <c r="B18" s="93"/>
      <c r="C18" s="93"/>
      <c r="D18" s="93"/>
      <c r="E18" s="93"/>
      <c r="F18" s="93"/>
      <c r="G18" s="93"/>
      <c r="H18" s="54"/>
      <c r="I18" s="54"/>
    </row>
    <row r="19" spans="1:9" x14ac:dyDescent="0.2">
      <c r="A19" s="29" t="s">
        <v>22</v>
      </c>
      <c r="B19" s="29"/>
      <c r="C19" s="31"/>
      <c r="D19" s="31"/>
      <c r="E19" s="31"/>
      <c r="F19" s="31"/>
      <c r="G19" s="347" t="str">
        <f>' VV - Example'!G19</f>
        <v>XYZ Company</v>
      </c>
      <c r="H19" s="54"/>
      <c r="I19" s="54"/>
    </row>
    <row r="20" spans="1:9" x14ac:dyDescent="0.2">
      <c r="A20" s="29"/>
      <c r="B20" s="29"/>
      <c r="C20" s="31"/>
      <c r="D20" s="31"/>
      <c r="E20" s="31"/>
      <c r="F20" s="31"/>
      <c r="G20" s="349"/>
      <c r="H20" s="54"/>
      <c r="I20" s="54"/>
    </row>
    <row r="21" spans="1:9" x14ac:dyDescent="0.2">
      <c r="A21" s="29" t="s">
        <v>0</v>
      </c>
      <c r="B21" s="29"/>
      <c r="C21" s="31"/>
      <c r="D21" s="31"/>
      <c r="E21" s="31"/>
      <c r="F21" s="31"/>
      <c r="G21" s="347" t="str">
        <f>' VV - Example'!G21</f>
        <v>Enter Data</v>
      </c>
      <c r="H21" s="54"/>
      <c r="I21" s="54"/>
    </row>
    <row r="22" spans="1:9" x14ac:dyDescent="0.2">
      <c r="A22" s="29" t="s">
        <v>1</v>
      </c>
      <c r="B22" s="29"/>
      <c r="C22" s="31"/>
      <c r="D22" s="31"/>
      <c r="E22" s="31"/>
      <c r="F22" s="31"/>
      <c r="G22" s="347" t="str">
        <f>' VV - Example'!G22</f>
        <v>Enter Data</v>
      </c>
      <c r="H22" s="54"/>
      <c r="I22" s="54"/>
    </row>
    <row r="23" spans="1:9" x14ac:dyDescent="0.2">
      <c r="A23" s="29" t="s">
        <v>2</v>
      </c>
      <c r="B23" s="29"/>
      <c r="C23" s="31"/>
      <c r="D23" s="31"/>
      <c r="E23" s="31"/>
      <c r="F23" s="31"/>
      <c r="G23" s="347" t="str">
        <f>' VV - Example'!G23</f>
        <v>Enter Data</v>
      </c>
      <c r="H23" s="54"/>
      <c r="I23" s="54"/>
    </row>
    <row r="24" spans="1:9" x14ac:dyDescent="0.2">
      <c r="A24" s="29" t="s">
        <v>3</v>
      </c>
      <c r="B24" s="29"/>
      <c r="C24" s="31"/>
      <c r="D24" s="31"/>
      <c r="E24" s="31"/>
      <c r="F24" s="31"/>
      <c r="G24" s="347" t="str">
        <f>' VV - Example'!G24</f>
        <v>Enter Data</v>
      </c>
      <c r="H24" s="54"/>
      <c r="I24" s="54"/>
    </row>
    <row r="25" spans="1:9" x14ac:dyDescent="0.2">
      <c r="A25" s="29" t="s">
        <v>4</v>
      </c>
      <c r="B25" s="29"/>
      <c r="C25" s="31"/>
      <c r="D25" s="31"/>
      <c r="E25" s="31"/>
      <c r="F25" s="31"/>
      <c r="G25" s="347" t="str">
        <f>' VV - Example'!G25</f>
        <v>Enter Data</v>
      </c>
      <c r="H25" s="54"/>
      <c r="I25" s="54"/>
    </row>
    <row r="26" spans="1:9" x14ac:dyDescent="0.2">
      <c r="A26" s="29" t="s">
        <v>6</v>
      </c>
      <c r="B26" s="29"/>
      <c r="C26" s="31"/>
      <c r="D26" s="31"/>
      <c r="E26" s="31"/>
      <c r="F26" s="31"/>
      <c r="G26" s="347" t="str">
        <f>' VV - Example'!G26</f>
        <v>Enter Data</v>
      </c>
      <c r="H26" s="54"/>
      <c r="I26" s="54"/>
    </row>
    <row r="27" spans="1:9" x14ac:dyDescent="0.2">
      <c r="A27" s="29" t="s">
        <v>8</v>
      </c>
      <c r="B27" s="29"/>
      <c r="C27" s="31"/>
      <c r="D27" s="31"/>
      <c r="E27" s="31"/>
      <c r="F27" s="31"/>
      <c r="G27" s="347" t="str">
        <f>' VV - Example'!G27</f>
        <v>Enter Data</v>
      </c>
      <c r="H27" s="54"/>
      <c r="I27" s="54"/>
    </row>
    <row r="28" spans="1:9" x14ac:dyDescent="0.2">
      <c r="A28" s="29" t="s">
        <v>9</v>
      </c>
      <c r="B28" s="29"/>
      <c r="C28" s="31"/>
      <c r="D28" s="31"/>
      <c r="E28" s="31"/>
      <c r="F28" s="31"/>
      <c r="G28" s="347" t="str">
        <f>' VV - Example'!G28</f>
        <v>Enter Data</v>
      </c>
      <c r="H28" s="54"/>
      <c r="I28" s="54"/>
    </row>
    <row r="29" spans="1:9" x14ac:dyDescent="0.2">
      <c r="A29" s="29" t="s">
        <v>12</v>
      </c>
      <c r="B29" s="29"/>
      <c r="C29" s="31"/>
      <c r="D29" s="31"/>
      <c r="E29" s="31"/>
      <c r="F29" s="31"/>
      <c r="G29" s="347" t="str">
        <f>' VV - Example'!G29</f>
        <v>Enter Data</v>
      </c>
      <c r="H29" s="54"/>
      <c r="I29" s="54"/>
    </row>
    <row r="30" spans="1:9" x14ac:dyDescent="0.2">
      <c r="A30" s="29" t="s">
        <v>18</v>
      </c>
      <c r="B30" s="29"/>
      <c r="C30" s="31"/>
      <c r="D30" s="31"/>
      <c r="E30" s="31"/>
      <c r="F30" s="31"/>
      <c r="G30" s="347" t="str">
        <f>' VV - Example'!G30</f>
        <v>Enter Data</v>
      </c>
      <c r="H30" s="54"/>
      <c r="I30" s="54"/>
    </row>
    <row r="31" spans="1:9" x14ac:dyDescent="0.2">
      <c r="A31" s="29" t="s">
        <v>10</v>
      </c>
      <c r="B31" s="29"/>
      <c r="C31" s="31"/>
      <c r="D31" s="31"/>
      <c r="E31" s="31"/>
      <c r="F31" s="31"/>
      <c r="G31" s="347" t="str">
        <f>' VV - Example'!G31</f>
        <v>Enter Data</v>
      </c>
      <c r="H31" s="54"/>
      <c r="I31" s="54"/>
    </row>
    <row r="32" spans="1:9" x14ac:dyDescent="0.2">
      <c r="A32" s="29" t="s">
        <v>11</v>
      </c>
      <c r="B32" s="29"/>
      <c r="C32" s="31"/>
      <c r="D32" s="31"/>
      <c r="E32" s="31"/>
      <c r="F32" s="31"/>
      <c r="G32" s="347" t="str">
        <f>' VV - Example'!G32</f>
        <v>Enter Data</v>
      </c>
      <c r="H32" s="54"/>
      <c r="I32" s="54"/>
    </row>
    <row r="33" spans="1:9" customFormat="1" ht="22.5" x14ac:dyDescent="0.2">
      <c r="A33" s="58" t="s">
        <v>19</v>
      </c>
      <c r="B33" s="58"/>
      <c r="C33" s="58" t="s">
        <v>23</v>
      </c>
      <c r="D33" s="58" t="s">
        <v>24</v>
      </c>
      <c r="E33" s="58" t="s">
        <v>20</v>
      </c>
      <c r="F33" s="58" t="s">
        <v>25</v>
      </c>
      <c r="G33" s="58" t="s">
        <v>21</v>
      </c>
      <c r="H33" s="58" t="s">
        <v>68</v>
      </c>
      <c r="I33" s="58" t="s">
        <v>374</v>
      </c>
    </row>
    <row r="34" spans="1:9" x14ac:dyDescent="0.2">
      <c r="A34" s="59">
        <v>1</v>
      </c>
      <c r="B34" s="68"/>
      <c r="C34" s="60" t="s">
        <v>183</v>
      </c>
      <c r="D34" s="61" t="s">
        <v>91</v>
      </c>
      <c r="E34" s="62" t="s">
        <v>128</v>
      </c>
      <c r="F34" s="128"/>
      <c r="G34" s="149">
        <v>0</v>
      </c>
      <c r="H34" s="322" t="s">
        <v>129</v>
      </c>
      <c r="I34" s="340"/>
    </row>
    <row r="35" spans="1:9" x14ac:dyDescent="0.2">
      <c r="A35" s="59">
        <f>A34+1</f>
        <v>2</v>
      </c>
      <c r="B35" s="68"/>
      <c r="C35" s="60" t="s">
        <v>184</v>
      </c>
      <c r="D35" s="61" t="s">
        <v>91</v>
      </c>
      <c r="E35" s="62" t="s">
        <v>185</v>
      </c>
      <c r="F35" s="128"/>
      <c r="G35" s="149">
        <v>0</v>
      </c>
      <c r="H35" s="323" t="s">
        <v>186</v>
      </c>
      <c r="I35" s="341"/>
    </row>
    <row r="36" spans="1:9" x14ac:dyDescent="0.2">
      <c r="A36" s="59">
        <f t="shared" ref="A36:A86" si="0">A35+1</f>
        <v>3</v>
      </c>
      <c r="B36" s="68"/>
      <c r="C36" s="60" t="s">
        <v>184</v>
      </c>
      <c r="D36" s="61" t="s">
        <v>91</v>
      </c>
      <c r="E36" s="62" t="s">
        <v>187</v>
      </c>
      <c r="F36" s="128"/>
      <c r="G36" s="149">
        <v>0</v>
      </c>
      <c r="H36" s="323" t="s">
        <v>188</v>
      </c>
      <c r="I36" s="341"/>
    </row>
    <row r="37" spans="1:9" x14ac:dyDescent="0.2">
      <c r="A37" s="59">
        <f t="shared" si="0"/>
        <v>4</v>
      </c>
      <c r="B37" s="68"/>
      <c r="C37" s="60" t="s">
        <v>184</v>
      </c>
      <c r="D37" s="61" t="s">
        <v>91</v>
      </c>
      <c r="E37" s="63" t="s">
        <v>189</v>
      </c>
      <c r="F37" s="128"/>
      <c r="G37" s="149">
        <v>1500000.12</v>
      </c>
      <c r="H37" s="323" t="s">
        <v>190</v>
      </c>
      <c r="I37" s="341"/>
    </row>
    <row r="38" spans="1:9" x14ac:dyDescent="0.2">
      <c r="A38" s="59">
        <f t="shared" si="0"/>
        <v>5</v>
      </c>
      <c r="B38" s="68"/>
      <c r="C38" s="60" t="s">
        <v>184</v>
      </c>
      <c r="D38" s="61" t="s">
        <v>91</v>
      </c>
      <c r="E38" s="62" t="s">
        <v>191</v>
      </c>
      <c r="F38" s="128"/>
      <c r="G38" s="149">
        <v>1000000.56</v>
      </c>
      <c r="H38" s="323" t="s">
        <v>359</v>
      </c>
      <c r="I38" s="341"/>
    </row>
    <row r="39" spans="1:9" x14ac:dyDescent="0.2">
      <c r="A39" s="59">
        <f t="shared" si="0"/>
        <v>6</v>
      </c>
      <c r="B39" s="68"/>
      <c r="C39" s="60" t="s">
        <v>184</v>
      </c>
      <c r="D39" s="61" t="s">
        <v>91</v>
      </c>
      <c r="E39" s="63" t="s">
        <v>192</v>
      </c>
      <c r="F39" s="128"/>
      <c r="G39" s="149">
        <v>100000.77</v>
      </c>
      <c r="H39" s="323" t="s">
        <v>193</v>
      </c>
      <c r="I39" s="341"/>
    </row>
    <row r="40" spans="1:9" x14ac:dyDescent="0.2">
      <c r="A40" s="59">
        <f t="shared" si="0"/>
        <v>7</v>
      </c>
      <c r="B40" s="68"/>
      <c r="C40" s="60" t="s">
        <v>183</v>
      </c>
      <c r="D40" s="61" t="s">
        <v>91</v>
      </c>
      <c r="E40" s="62" t="s">
        <v>194</v>
      </c>
      <c r="F40" s="128"/>
      <c r="G40" s="149">
        <v>0</v>
      </c>
      <c r="H40" s="323" t="s">
        <v>195</v>
      </c>
      <c r="I40" s="341"/>
    </row>
    <row r="41" spans="1:9" x14ac:dyDescent="0.2">
      <c r="A41" s="59">
        <f t="shared" si="0"/>
        <v>8</v>
      </c>
      <c r="B41" s="68"/>
      <c r="C41" s="60" t="s">
        <v>183</v>
      </c>
      <c r="D41" s="61" t="s">
        <v>91</v>
      </c>
      <c r="E41" s="64" t="s">
        <v>74</v>
      </c>
      <c r="F41" s="128"/>
      <c r="G41" s="150">
        <f>SUM(G35:G40)</f>
        <v>2600001.4500000002</v>
      </c>
      <c r="H41" s="323" t="s">
        <v>75</v>
      </c>
      <c r="I41" s="360" t="s">
        <v>375</v>
      </c>
    </row>
    <row r="42" spans="1:9" x14ac:dyDescent="0.2">
      <c r="A42" s="59">
        <f t="shared" si="0"/>
        <v>9</v>
      </c>
      <c r="B42" s="68"/>
      <c r="C42" s="60" t="s">
        <v>183</v>
      </c>
      <c r="D42" s="61" t="s">
        <v>91</v>
      </c>
      <c r="E42" s="65" t="s">
        <v>196</v>
      </c>
      <c r="F42" s="128">
        <v>0.03</v>
      </c>
      <c r="G42" s="149"/>
      <c r="H42" s="323" t="s">
        <v>197</v>
      </c>
      <c r="I42" s="361"/>
    </row>
    <row r="43" spans="1:9" x14ac:dyDescent="0.2">
      <c r="A43" s="59">
        <f t="shared" si="0"/>
        <v>10</v>
      </c>
      <c r="B43" s="68"/>
      <c r="C43" s="60" t="s">
        <v>183</v>
      </c>
      <c r="D43" s="61" t="s">
        <v>91</v>
      </c>
      <c r="E43" s="62" t="s">
        <v>76</v>
      </c>
      <c r="F43" s="128"/>
      <c r="G43" s="150">
        <f>ROUND(+G41*F42,2)</f>
        <v>78000.039999999994</v>
      </c>
      <c r="H43" s="323" t="s">
        <v>77</v>
      </c>
      <c r="I43" s="360" t="s">
        <v>376</v>
      </c>
    </row>
    <row r="44" spans="1:9" x14ac:dyDescent="0.2">
      <c r="A44" s="59">
        <f t="shared" si="0"/>
        <v>11</v>
      </c>
      <c r="B44" s="68"/>
      <c r="C44" s="60" t="s">
        <v>184</v>
      </c>
      <c r="D44" s="61" t="s">
        <v>91</v>
      </c>
      <c r="E44" s="62" t="s">
        <v>198</v>
      </c>
      <c r="F44" s="128"/>
      <c r="G44" s="149">
        <v>0</v>
      </c>
      <c r="H44" s="323" t="s">
        <v>199</v>
      </c>
      <c r="I44" s="362"/>
    </row>
    <row r="45" spans="1:9" x14ac:dyDescent="0.2">
      <c r="A45" s="59">
        <f t="shared" si="0"/>
        <v>12</v>
      </c>
      <c r="B45" s="68"/>
      <c r="C45" s="60" t="s">
        <v>184</v>
      </c>
      <c r="D45" s="61" t="s">
        <v>91</v>
      </c>
      <c r="E45" s="62" t="s">
        <v>200</v>
      </c>
      <c r="F45" s="128"/>
      <c r="G45" s="149">
        <v>0</v>
      </c>
      <c r="H45" s="323" t="s">
        <v>201</v>
      </c>
      <c r="I45" s="362"/>
    </row>
    <row r="46" spans="1:9" x14ac:dyDescent="0.2">
      <c r="A46" s="59">
        <f t="shared" si="0"/>
        <v>13</v>
      </c>
      <c r="B46" s="68"/>
      <c r="C46" s="60" t="s">
        <v>184</v>
      </c>
      <c r="D46" s="61" t="s">
        <v>91</v>
      </c>
      <c r="E46" s="62" t="s">
        <v>202</v>
      </c>
      <c r="F46" s="128"/>
      <c r="G46" s="149">
        <v>0</v>
      </c>
      <c r="H46" s="323" t="s">
        <v>203</v>
      </c>
      <c r="I46" s="362"/>
    </row>
    <row r="47" spans="1:9" x14ac:dyDescent="0.2">
      <c r="A47" s="59">
        <f t="shared" si="0"/>
        <v>14</v>
      </c>
      <c r="B47" s="68"/>
      <c r="C47" s="60" t="s">
        <v>184</v>
      </c>
      <c r="D47" s="61" t="s">
        <v>91</v>
      </c>
      <c r="E47" s="62" t="s">
        <v>93</v>
      </c>
      <c r="F47" s="128"/>
      <c r="G47" s="149">
        <v>0</v>
      </c>
      <c r="H47" s="323" t="s">
        <v>94</v>
      </c>
      <c r="I47" s="362"/>
    </row>
    <row r="48" spans="1:9" x14ac:dyDescent="0.2">
      <c r="A48" s="59">
        <f t="shared" si="0"/>
        <v>15</v>
      </c>
      <c r="B48" s="68"/>
      <c r="C48" s="60" t="s">
        <v>184</v>
      </c>
      <c r="D48" s="61" t="s">
        <v>91</v>
      </c>
      <c r="E48" s="62" t="s">
        <v>204</v>
      </c>
      <c r="F48" s="128"/>
      <c r="G48" s="149">
        <v>0</v>
      </c>
      <c r="H48" s="323" t="s">
        <v>205</v>
      </c>
      <c r="I48" s="362"/>
    </row>
    <row r="49" spans="1:9" x14ac:dyDescent="0.2">
      <c r="A49" s="230">
        <f t="shared" si="0"/>
        <v>16</v>
      </c>
      <c r="B49" s="64"/>
      <c r="C49" s="64" t="s">
        <v>183</v>
      </c>
      <c r="D49" s="66" t="s">
        <v>91</v>
      </c>
      <c r="E49" s="64" t="str">
        <f>'PT-Example '!H125</f>
        <v>PTDC</v>
      </c>
      <c r="F49" s="129"/>
      <c r="G49" s="300">
        <f>'PT-Example '!L125</f>
        <v>0</v>
      </c>
      <c r="H49" s="323" t="s">
        <v>206</v>
      </c>
      <c r="I49" s="363" t="s">
        <v>522</v>
      </c>
    </row>
    <row r="50" spans="1:9" x14ac:dyDescent="0.2">
      <c r="A50" s="59">
        <f t="shared" si="0"/>
        <v>17</v>
      </c>
      <c r="B50" s="68"/>
      <c r="C50" s="60" t="s">
        <v>183</v>
      </c>
      <c r="D50" s="61" t="s">
        <v>91</v>
      </c>
      <c r="E50" s="62" t="s">
        <v>82</v>
      </c>
      <c r="F50" s="128"/>
      <c r="G50" s="149">
        <v>0</v>
      </c>
      <c r="H50" s="323" t="s">
        <v>239</v>
      </c>
      <c r="I50" s="362"/>
    </row>
    <row r="51" spans="1:9" x14ac:dyDescent="0.2">
      <c r="A51" s="59">
        <f t="shared" si="0"/>
        <v>18</v>
      </c>
      <c r="B51" s="68"/>
      <c r="C51" s="60" t="s">
        <v>183</v>
      </c>
      <c r="D51" s="61" t="s">
        <v>91</v>
      </c>
      <c r="E51" s="62" t="s">
        <v>100</v>
      </c>
      <c r="F51" s="128"/>
      <c r="G51" s="151">
        <f>' VV - Example'!H58</f>
        <v>768000.12</v>
      </c>
      <c r="H51" s="323" t="s">
        <v>207</v>
      </c>
      <c r="I51" s="364" t="s">
        <v>523</v>
      </c>
    </row>
    <row r="52" spans="1:9" x14ac:dyDescent="0.2">
      <c r="A52" s="230">
        <f t="shared" si="0"/>
        <v>19</v>
      </c>
      <c r="B52" s="64"/>
      <c r="C52" s="60" t="s">
        <v>183</v>
      </c>
      <c r="D52" s="61" t="s">
        <v>91</v>
      </c>
      <c r="E52" s="62" t="s">
        <v>208</v>
      </c>
      <c r="F52" s="128"/>
      <c r="G52" s="150">
        <f>+G41+SUM(G43:G51)</f>
        <v>3446001.6100000003</v>
      </c>
      <c r="H52" s="323" t="s">
        <v>209</v>
      </c>
      <c r="I52" s="365" t="s">
        <v>377</v>
      </c>
    </row>
    <row r="53" spans="1:9" x14ac:dyDescent="0.2">
      <c r="A53" s="59">
        <f t="shared" si="0"/>
        <v>20</v>
      </c>
      <c r="B53" s="68"/>
      <c r="C53" s="60" t="s">
        <v>183</v>
      </c>
      <c r="D53" s="61" t="s">
        <v>91</v>
      </c>
      <c r="E53" s="62" t="s">
        <v>210</v>
      </c>
      <c r="F53" s="128"/>
      <c r="G53" s="258">
        <f>IF(G85&gt;0,0,+G85)</f>
        <v>-48925076.965499997</v>
      </c>
      <c r="H53" s="323" t="s">
        <v>211</v>
      </c>
      <c r="I53" s="360" t="s">
        <v>378</v>
      </c>
    </row>
    <row r="54" spans="1:9" x14ac:dyDescent="0.2">
      <c r="A54" s="59">
        <f t="shared" si="0"/>
        <v>21</v>
      </c>
      <c r="B54" s="68"/>
      <c r="C54" s="60" t="s">
        <v>183</v>
      </c>
      <c r="D54" s="61" t="s">
        <v>91</v>
      </c>
      <c r="E54" s="62" t="s">
        <v>212</v>
      </c>
      <c r="F54" s="128"/>
      <c r="G54" s="258">
        <f>+G34+G52+G53</f>
        <v>-45479075.355499998</v>
      </c>
      <c r="H54" s="323" t="s">
        <v>213</v>
      </c>
      <c r="I54" s="360" t="s">
        <v>379</v>
      </c>
    </row>
    <row r="55" spans="1:9" x14ac:dyDescent="0.2">
      <c r="A55" s="59">
        <f t="shared" si="0"/>
        <v>22</v>
      </c>
      <c r="B55" s="68"/>
      <c r="C55" s="60" t="s">
        <v>183</v>
      </c>
      <c r="D55" s="61" t="s">
        <v>91</v>
      </c>
      <c r="E55" s="62" t="s">
        <v>214</v>
      </c>
      <c r="F55" s="128"/>
      <c r="G55" s="150">
        <f>ROUND(IF(G54&lt;0,0,(+G34+G54)*0.5),2)</f>
        <v>0</v>
      </c>
      <c r="H55" s="323" t="s">
        <v>215</v>
      </c>
      <c r="I55" s="360" t="s">
        <v>380</v>
      </c>
    </row>
    <row r="56" spans="1:9" x14ac:dyDescent="0.2">
      <c r="A56" s="59">
        <f t="shared" si="0"/>
        <v>23</v>
      </c>
      <c r="B56" s="68"/>
      <c r="C56" s="60" t="s">
        <v>183</v>
      </c>
      <c r="D56" s="61" t="s">
        <v>91</v>
      </c>
      <c r="E56" s="62" t="s">
        <v>216</v>
      </c>
      <c r="F56" s="129">
        <v>6.4516E-3</v>
      </c>
      <c r="G56" s="149"/>
      <c r="H56" s="323" t="s">
        <v>217</v>
      </c>
      <c r="I56" s="362"/>
    </row>
    <row r="57" spans="1:9" x14ac:dyDescent="0.2">
      <c r="A57" s="59">
        <f t="shared" si="0"/>
        <v>24</v>
      </c>
      <c r="B57" s="68"/>
      <c r="C57" s="60" t="s">
        <v>183</v>
      </c>
      <c r="D57" s="61" t="s">
        <v>91</v>
      </c>
      <c r="E57" s="63" t="s">
        <v>218</v>
      </c>
      <c r="F57" s="128"/>
      <c r="G57" s="150">
        <f>ROUND(G55*F56,2)</f>
        <v>0</v>
      </c>
      <c r="H57" s="323" t="s">
        <v>219</v>
      </c>
      <c r="I57" s="360" t="s">
        <v>381</v>
      </c>
    </row>
    <row r="58" spans="1:9" x14ac:dyDescent="0.2">
      <c r="A58" s="59">
        <f t="shared" si="0"/>
        <v>25</v>
      </c>
      <c r="B58" s="68"/>
      <c r="C58" s="60" t="s">
        <v>183</v>
      </c>
      <c r="D58" s="61" t="s">
        <v>91</v>
      </c>
      <c r="E58" s="64" t="s">
        <v>220</v>
      </c>
      <c r="F58" s="128"/>
      <c r="G58" s="258">
        <f>+G54+G57</f>
        <v>-45479075.355499998</v>
      </c>
      <c r="H58" s="323" t="s">
        <v>221</v>
      </c>
      <c r="I58" s="360" t="s">
        <v>389</v>
      </c>
    </row>
    <row r="59" spans="1:9" x14ac:dyDescent="0.2">
      <c r="A59" s="59">
        <f t="shared" si="0"/>
        <v>26</v>
      </c>
      <c r="B59" s="68"/>
      <c r="C59" s="60" t="s">
        <v>183</v>
      </c>
      <c r="D59" s="61" t="s">
        <v>91</v>
      </c>
      <c r="E59" s="62" t="s">
        <v>222</v>
      </c>
      <c r="F59" s="128"/>
      <c r="G59" s="258">
        <f>G58</f>
        <v>-45479075.355499998</v>
      </c>
      <c r="H59" s="323" t="s">
        <v>223</v>
      </c>
      <c r="I59" s="360" t="s">
        <v>390</v>
      </c>
    </row>
    <row r="60" spans="1:9" x14ac:dyDescent="0.2">
      <c r="A60" s="59">
        <f t="shared" si="0"/>
        <v>27</v>
      </c>
      <c r="B60" s="68"/>
      <c r="C60" s="60" t="s">
        <v>183</v>
      </c>
      <c r="D60" s="61" t="s">
        <v>130</v>
      </c>
      <c r="E60" s="62" t="s">
        <v>220</v>
      </c>
      <c r="F60" s="128"/>
      <c r="G60" s="150">
        <f>IF(G58&gt;0,0,-G59)</f>
        <v>45479075.355499998</v>
      </c>
      <c r="H60" s="323" t="s">
        <v>221</v>
      </c>
      <c r="I60" s="360" t="s">
        <v>391</v>
      </c>
    </row>
    <row r="61" spans="1:9" x14ac:dyDescent="0.2">
      <c r="A61" s="59">
        <f t="shared" si="0"/>
        <v>28</v>
      </c>
      <c r="B61" s="68"/>
      <c r="C61" s="60" t="s">
        <v>183</v>
      </c>
      <c r="D61" s="61" t="s">
        <v>130</v>
      </c>
      <c r="E61" s="62" t="s">
        <v>131</v>
      </c>
      <c r="F61" s="129">
        <v>0.4</v>
      </c>
      <c r="G61" s="149"/>
      <c r="H61" s="323" t="s">
        <v>132</v>
      </c>
      <c r="I61" s="362"/>
    </row>
    <row r="62" spans="1:9" x14ac:dyDescent="0.2">
      <c r="A62" s="59">
        <f t="shared" si="0"/>
        <v>29</v>
      </c>
      <c r="B62" s="68"/>
      <c r="C62" s="60" t="s">
        <v>183</v>
      </c>
      <c r="D62" s="61" t="s">
        <v>130</v>
      </c>
      <c r="E62" s="62" t="s">
        <v>224</v>
      </c>
      <c r="F62" s="128"/>
      <c r="G62" s="150">
        <f>ROUND(+G60*F61,2)</f>
        <v>18191630.140000001</v>
      </c>
      <c r="H62" s="323" t="s">
        <v>225</v>
      </c>
      <c r="I62" s="360" t="s">
        <v>382</v>
      </c>
    </row>
    <row r="63" spans="1:9" x14ac:dyDescent="0.2">
      <c r="A63" s="59">
        <f t="shared" si="0"/>
        <v>30</v>
      </c>
      <c r="B63" s="68"/>
      <c r="C63" s="60" t="s">
        <v>183</v>
      </c>
      <c r="D63" s="61" t="s">
        <v>130</v>
      </c>
      <c r="E63" s="61" t="s">
        <v>451</v>
      </c>
      <c r="F63" s="128"/>
      <c r="G63" s="150">
        <v>1055.77</v>
      </c>
      <c r="H63" s="323" t="s">
        <v>452</v>
      </c>
      <c r="I63" s="360" t="s">
        <v>457</v>
      </c>
    </row>
    <row r="64" spans="1:9" x14ac:dyDescent="0.2">
      <c r="A64" s="59">
        <f t="shared" si="0"/>
        <v>31</v>
      </c>
      <c r="B64" s="68"/>
      <c r="C64" s="60" t="s">
        <v>183</v>
      </c>
      <c r="D64" s="61" t="s">
        <v>130</v>
      </c>
      <c r="E64" s="61" t="s">
        <v>453</v>
      </c>
      <c r="F64" s="128"/>
      <c r="G64" s="150">
        <v>8.8918334016393441</v>
      </c>
      <c r="H64" s="323" t="s">
        <v>454</v>
      </c>
      <c r="I64" s="360" t="s">
        <v>458</v>
      </c>
    </row>
    <row r="65" spans="1:9" x14ac:dyDescent="0.2">
      <c r="A65" s="59">
        <f t="shared" si="0"/>
        <v>32</v>
      </c>
      <c r="B65" s="68"/>
      <c r="C65" s="60" t="s">
        <v>183</v>
      </c>
      <c r="D65" s="61" t="s">
        <v>130</v>
      </c>
      <c r="E65" s="61" t="s">
        <v>455</v>
      </c>
      <c r="F65" s="128"/>
      <c r="G65" s="150">
        <f>G63+G64</f>
        <v>1064.6618334016393</v>
      </c>
      <c r="H65" s="323" t="s">
        <v>456</v>
      </c>
      <c r="I65" s="360" t="s">
        <v>459</v>
      </c>
    </row>
    <row r="66" spans="1:9" x14ac:dyDescent="0.2">
      <c r="A66" s="59">
        <f t="shared" si="0"/>
        <v>33</v>
      </c>
      <c r="B66" s="68"/>
      <c r="C66" s="60" t="s">
        <v>183</v>
      </c>
      <c r="D66" s="67" t="s">
        <v>71</v>
      </c>
      <c r="E66" s="68" t="s">
        <v>128</v>
      </c>
      <c r="F66" s="128"/>
      <c r="G66" s="149">
        <v>0</v>
      </c>
      <c r="H66" s="323" t="s">
        <v>226</v>
      </c>
      <c r="I66" s="362"/>
    </row>
    <row r="67" spans="1:9" x14ac:dyDescent="0.2">
      <c r="A67" s="59">
        <f t="shared" si="0"/>
        <v>34</v>
      </c>
      <c r="B67" s="68"/>
      <c r="C67" s="60" t="s">
        <v>184</v>
      </c>
      <c r="D67" s="67" t="s">
        <v>71</v>
      </c>
      <c r="E67" s="68" t="s">
        <v>73</v>
      </c>
      <c r="F67" s="128" t="s">
        <v>72</v>
      </c>
      <c r="G67" s="259">
        <f>-' VV - Example'!H53-' VV - Example'!H69</f>
        <v>-70353882.5</v>
      </c>
      <c r="H67" s="323" t="s">
        <v>227</v>
      </c>
      <c r="I67" s="364" t="s">
        <v>524</v>
      </c>
    </row>
    <row r="68" spans="1:9" x14ac:dyDescent="0.2">
      <c r="A68" s="59">
        <f t="shared" si="0"/>
        <v>35</v>
      </c>
      <c r="B68" s="68"/>
      <c r="C68" s="60" t="s">
        <v>184</v>
      </c>
      <c r="D68" s="61" t="s">
        <v>71</v>
      </c>
      <c r="E68" s="62" t="s">
        <v>228</v>
      </c>
      <c r="F68" s="128"/>
      <c r="G68" s="149">
        <v>3000.66</v>
      </c>
      <c r="H68" s="323" t="s">
        <v>229</v>
      </c>
      <c r="I68" s="362"/>
    </row>
    <row r="69" spans="1:9" x14ac:dyDescent="0.2">
      <c r="A69" s="59">
        <f t="shared" si="0"/>
        <v>36</v>
      </c>
      <c r="B69" s="68"/>
      <c r="C69" s="60" t="s">
        <v>184</v>
      </c>
      <c r="D69" s="61" t="s">
        <v>71</v>
      </c>
      <c r="E69" s="62" t="s">
        <v>230</v>
      </c>
      <c r="F69" s="128"/>
      <c r="G69" s="149">
        <v>0</v>
      </c>
      <c r="H69" s="323" t="s">
        <v>231</v>
      </c>
      <c r="I69" s="362"/>
    </row>
    <row r="70" spans="1:9" x14ac:dyDescent="0.2">
      <c r="A70" s="59">
        <f t="shared" si="0"/>
        <v>37</v>
      </c>
      <c r="B70" s="68"/>
      <c r="C70" s="60" t="s">
        <v>184</v>
      </c>
      <c r="D70" s="61" t="s">
        <v>71</v>
      </c>
      <c r="E70" s="62" t="s">
        <v>232</v>
      </c>
      <c r="F70" s="128"/>
      <c r="G70" s="149">
        <v>1500.56</v>
      </c>
      <c r="H70" s="323" t="s">
        <v>233</v>
      </c>
      <c r="I70" s="362"/>
    </row>
    <row r="71" spans="1:9" x14ac:dyDescent="0.2">
      <c r="A71" s="59">
        <f t="shared" si="0"/>
        <v>38</v>
      </c>
      <c r="B71" s="68"/>
      <c r="C71" s="60" t="s">
        <v>183</v>
      </c>
      <c r="D71" s="67" t="s">
        <v>71</v>
      </c>
      <c r="E71" s="68" t="s">
        <v>234</v>
      </c>
      <c r="F71" s="128" t="s">
        <v>72</v>
      </c>
      <c r="G71" s="149">
        <v>0</v>
      </c>
      <c r="H71" s="323" t="s">
        <v>235</v>
      </c>
      <c r="I71" s="362"/>
    </row>
    <row r="72" spans="1:9" x14ac:dyDescent="0.2">
      <c r="A72" s="59">
        <f t="shared" si="0"/>
        <v>39</v>
      </c>
      <c r="B72" s="68"/>
      <c r="C72" s="60" t="s">
        <v>183</v>
      </c>
      <c r="D72" s="67" t="s">
        <v>71</v>
      </c>
      <c r="E72" s="62" t="s">
        <v>194</v>
      </c>
      <c r="F72" s="128"/>
      <c r="G72" s="149">
        <v>0</v>
      </c>
      <c r="H72" s="323" t="s">
        <v>195</v>
      </c>
      <c r="I72" s="362"/>
    </row>
    <row r="73" spans="1:9" x14ac:dyDescent="0.2">
      <c r="A73" s="59">
        <f t="shared" si="0"/>
        <v>40</v>
      </c>
      <c r="B73" s="68"/>
      <c r="C73" s="60" t="s">
        <v>183</v>
      </c>
      <c r="D73" s="67" t="s">
        <v>71</v>
      </c>
      <c r="E73" s="64" t="s">
        <v>74</v>
      </c>
      <c r="F73" s="128"/>
      <c r="G73" s="150">
        <f>SUM(G68:G72)</f>
        <v>4501.2199999999993</v>
      </c>
      <c r="H73" s="323" t="s">
        <v>75</v>
      </c>
      <c r="I73" s="360" t="s">
        <v>383</v>
      </c>
    </row>
    <row r="74" spans="1:9" x14ac:dyDescent="0.2">
      <c r="A74" s="59">
        <f t="shared" si="0"/>
        <v>41</v>
      </c>
      <c r="B74" s="68"/>
      <c r="C74" s="60" t="s">
        <v>183</v>
      </c>
      <c r="D74" s="61" t="s">
        <v>71</v>
      </c>
      <c r="E74" s="65" t="s">
        <v>196</v>
      </c>
      <c r="F74" s="128">
        <v>0.09</v>
      </c>
      <c r="G74" s="149"/>
      <c r="H74" s="323" t="s">
        <v>197</v>
      </c>
      <c r="I74" s="362"/>
    </row>
    <row r="75" spans="1:9" x14ac:dyDescent="0.2">
      <c r="A75" s="59">
        <f t="shared" si="0"/>
        <v>42</v>
      </c>
      <c r="B75" s="68"/>
      <c r="C75" s="60" t="s">
        <v>183</v>
      </c>
      <c r="D75" s="61" t="s">
        <v>71</v>
      </c>
      <c r="E75" s="62" t="s">
        <v>76</v>
      </c>
      <c r="F75" s="128"/>
      <c r="G75" s="150">
        <f>ROUND(+G73*F74,2)</f>
        <v>405.11</v>
      </c>
      <c r="H75" s="323" t="s">
        <v>77</v>
      </c>
      <c r="I75" s="360" t="s">
        <v>384</v>
      </c>
    </row>
    <row r="76" spans="1:9" x14ac:dyDescent="0.2">
      <c r="A76" s="59">
        <f t="shared" si="0"/>
        <v>43</v>
      </c>
      <c r="B76" s="68"/>
      <c r="C76" s="60" t="s">
        <v>184</v>
      </c>
      <c r="D76" s="61" t="s">
        <v>71</v>
      </c>
      <c r="E76" s="62" t="s">
        <v>236</v>
      </c>
      <c r="F76" s="128"/>
      <c r="G76" s="151">
        <f>+' VV - Example'!H56+' VV - Example'!H74</f>
        <v>142910.41</v>
      </c>
      <c r="H76" s="323" t="s">
        <v>237</v>
      </c>
      <c r="I76" s="364" t="s">
        <v>525</v>
      </c>
    </row>
    <row r="77" spans="1:9" x14ac:dyDescent="0.2">
      <c r="A77" s="59">
        <f t="shared" si="0"/>
        <v>44</v>
      </c>
      <c r="B77" s="69"/>
      <c r="C77" s="69" t="s">
        <v>183</v>
      </c>
      <c r="D77" s="70" t="s">
        <v>71</v>
      </c>
      <c r="E77" s="71" t="str">
        <f>'PT-Example '!H122</f>
        <v>PTLA</v>
      </c>
      <c r="F77" s="129"/>
      <c r="G77" s="152">
        <f>'PT-Example '!L122</f>
        <v>12480252.464500001</v>
      </c>
      <c r="H77" s="323" t="s">
        <v>238</v>
      </c>
      <c r="I77" s="366" t="s">
        <v>526</v>
      </c>
    </row>
    <row r="78" spans="1:9" x14ac:dyDescent="0.2">
      <c r="A78" s="59">
        <f t="shared" si="0"/>
        <v>45</v>
      </c>
      <c r="B78" s="64"/>
      <c r="C78" s="64" t="s">
        <v>183</v>
      </c>
      <c r="D78" s="70" t="s">
        <v>71</v>
      </c>
      <c r="E78" s="71" t="str">
        <f>'PT-Example '!H124</f>
        <v>PTLRC</v>
      </c>
      <c r="F78" s="129"/>
      <c r="G78" s="152">
        <f>'PT-Example '!L124</f>
        <v>0</v>
      </c>
      <c r="H78" s="323" t="s">
        <v>515</v>
      </c>
      <c r="I78" s="366" t="s">
        <v>435</v>
      </c>
    </row>
    <row r="79" spans="1:9" x14ac:dyDescent="0.2">
      <c r="A79" s="59">
        <f t="shared" si="0"/>
        <v>46</v>
      </c>
      <c r="B79" s="68"/>
      <c r="C79" s="60" t="s">
        <v>184</v>
      </c>
      <c r="D79" s="67" t="s">
        <v>71</v>
      </c>
      <c r="E79" s="68" t="s">
        <v>78</v>
      </c>
      <c r="F79" s="128"/>
      <c r="G79" s="149">
        <v>1500.88</v>
      </c>
      <c r="H79" s="323" t="s">
        <v>79</v>
      </c>
      <c r="I79" s="362"/>
    </row>
    <row r="80" spans="1:9" x14ac:dyDescent="0.2">
      <c r="A80" s="59">
        <f t="shared" si="0"/>
        <v>47</v>
      </c>
      <c r="B80" s="68"/>
      <c r="C80" s="60" t="s">
        <v>184</v>
      </c>
      <c r="D80" s="67" t="s">
        <v>71</v>
      </c>
      <c r="E80" s="68" t="s">
        <v>80</v>
      </c>
      <c r="F80" s="128"/>
      <c r="G80" s="149">
        <v>5000.12</v>
      </c>
      <c r="H80" s="323" t="s">
        <v>81</v>
      </c>
      <c r="I80" s="362"/>
    </row>
    <row r="81" spans="1:9" x14ac:dyDescent="0.2">
      <c r="A81" s="59">
        <f t="shared" si="0"/>
        <v>48</v>
      </c>
      <c r="B81" s="68"/>
      <c r="C81" s="60" t="s">
        <v>183</v>
      </c>
      <c r="D81" s="67" t="s">
        <v>71</v>
      </c>
      <c r="E81" s="62" t="s">
        <v>82</v>
      </c>
      <c r="F81" s="128"/>
      <c r="G81" s="149">
        <v>0</v>
      </c>
      <c r="H81" s="323" t="s">
        <v>239</v>
      </c>
      <c r="I81" s="362"/>
    </row>
    <row r="82" spans="1:9" x14ac:dyDescent="0.2">
      <c r="A82" s="59">
        <f t="shared" si="0"/>
        <v>49</v>
      </c>
      <c r="B82" s="68"/>
      <c r="C82" s="60" t="s">
        <v>183</v>
      </c>
      <c r="D82" s="67" t="s">
        <v>71</v>
      </c>
      <c r="E82" s="68" t="s">
        <v>240</v>
      </c>
      <c r="F82" s="128"/>
      <c r="G82" s="150">
        <f>SUM(G75:G81)</f>
        <v>12630068.9845</v>
      </c>
      <c r="H82" s="323" t="s">
        <v>241</v>
      </c>
      <c r="I82" s="360" t="s">
        <v>385</v>
      </c>
    </row>
    <row r="83" spans="1:9" x14ac:dyDescent="0.2">
      <c r="A83" s="59">
        <f t="shared" si="0"/>
        <v>50</v>
      </c>
      <c r="B83" s="68"/>
      <c r="C83" s="60" t="s">
        <v>184</v>
      </c>
      <c r="D83" s="61" t="s">
        <v>71</v>
      </c>
      <c r="E83" s="60" t="s">
        <v>84</v>
      </c>
      <c r="F83" s="128" t="s">
        <v>72</v>
      </c>
      <c r="G83" s="151">
        <f>+' VV - Example'!H54+' VV - Example'!H70</f>
        <v>8794235.3300000001</v>
      </c>
      <c r="H83" s="323" t="s">
        <v>242</v>
      </c>
      <c r="I83" s="364" t="s">
        <v>527</v>
      </c>
    </row>
    <row r="84" spans="1:9" x14ac:dyDescent="0.2">
      <c r="A84" s="59">
        <f t="shared" si="0"/>
        <v>51</v>
      </c>
      <c r="B84" s="68"/>
      <c r="C84" s="60" t="s">
        <v>183</v>
      </c>
      <c r="D84" s="61" t="s">
        <v>71</v>
      </c>
      <c r="E84" s="60" t="s">
        <v>243</v>
      </c>
      <c r="F84" s="128" t="s">
        <v>72</v>
      </c>
      <c r="G84" s="150">
        <f>G73+G82+G83</f>
        <v>21428805.534500003</v>
      </c>
      <c r="H84" s="323" t="s">
        <v>244</v>
      </c>
      <c r="I84" s="360" t="s">
        <v>386</v>
      </c>
    </row>
    <row r="85" spans="1:9" x14ac:dyDescent="0.2">
      <c r="A85" s="59">
        <f t="shared" si="0"/>
        <v>52</v>
      </c>
      <c r="B85" s="68"/>
      <c r="C85" s="60" t="s">
        <v>183</v>
      </c>
      <c r="D85" s="61" t="s">
        <v>71</v>
      </c>
      <c r="E85" s="60" t="s">
        <v>245</v>
      </c>
      <c r="F85" s="128" t="s">
        <v>72</v>
      </c>
      <c r="G85" s="258">
        <f>+G66+G67+G84</f>
        <v>-48925076.965499997</v>
      </c>
      <c r="H85" s="323" t="s">
        <v>246</v>
      </c>
      <c r="I85" s="360" t="s">
        <v>387</v>
      </c>
    </row>
    <row r="86" spans="1:9" x14ac:dyDescent="0.2">
      <c r="A86" s="59">
        <f t="shared" si="0"/>
        <v>53</v>
      </c>
      <c r="B86" s="68"/>
      <c r="C86" s="60" t="s">
        <v>183</v>
      </c>
      <c r="D86" s="61" t="s">
        <v>71</v>
      </c>
      <c r="E86" s="62" t="s">
        <v>222</v>
      </c>
      <c r="F86" s="128"/>
      <c r="G86" s="150">
        <f>+IF(G85&gt;0,G85,0)</f>
        <v>0</v>
      </c>
      <c r="H86" s="323" t="s">
        <v>223</v>
      </c>
      <c r="I86" s="360" t="s">
        <v>388</v>
      </c>
    </row>
    <row r="88" spans="1:9" ht="12" thickBot="1" x14ac:dyDescent="0.25"/>
    <row r="89" spans="1:9" ht="16.5" thickTop="1" x14ac:dyDescent="0.25">
      <c r="A89" s="74" t="s">
        <v>247</v>
      </c>
      <c r="B89" s="103"/>
      <c r="C89" s="75"/>
      <c r="D89" s="75"/>
      <c r="E89" s="75"/>
      <c r="F89" s="75"/>
      <c r="G89" s="76"/>
    </row>
    <row r="90" spans="1:9" x14ac:dyDescent="0.2">
      <c r="A90" s="77"/>
      <c r="B90" s="78"/>
      <c r="C90" s="78"/>
      <c r="D90" s="78"/>
      <c r="E90" s="78"/>
      <c r="F90" s="78"/>
      <c r="G90" s="79"/>
    </row>
    <row r="91" spans="1:9" ht="12.75" x14ac:dyDescent="0.2">
      <c r="A91" s="80" t="s">
        <v>248</v>
      </c>
      <c r="B91" s="104"/>
      <c r="C91" s="34"/>
      <c r="D91" s="34"/>
      <c r="E91" s="34"/>
      <c r="F91" s="34"/>
      <c r="G91" s="81"/>
    </row>
    <row r="92" spans="1:9" ht="12.75" x14ac:dyDescent="0.2">
      <c r="A92" s="82" t="s">
        <v>249</v>
      </c>
      <c r="B92" s="105"/>
      <c r="C92" s="83"/>
      <c r="D92" s="83"/>
      <c r="E92" s="83"/>
      <c r="F92" s="83"/>
      <c r="G92" s="84"/>
    </row>
    <row r="93" spans="1:9" ht="12.75" x14ac:dyDescent="0.2">
      <c r="A93" s="85" t="s">
        <v>250</v>
      </c>
      <c r="B93" s="106"/>
      <c r="C93" s="86"/>
      <c r="D93" s="86"/>
      <c r="E93" s="86"/>
      <c r="F93" s="86"/>
      <c r="G93" s="87"/>
    </row>
    <row r="94" spans="1:9" ht="12" thickBot="1" x14ac:dyDescent="0.25">
      <c r="A94" s="88"/>
      <c r="B94" s="89"/>
      <c r="C94" s="89"/>
      <c r="D94" s="89"/>
      <c r="E94" s="89"/>
      <c r="F94" s="89"/>
      <c r="G94" s="90"/>
    </row>
    <row r="95" spans="1:9" ht="12" thickTop="1" x14ac:dyDescent="0.2"/>
  </sheetData>
  <sheetProtection selectLockedCells="1"/>
  <conditionalFormatting sqref="B79:B86 A34:B48 A50:B62 B66:B76">
    <cfRule type="cellIs" dxfId="1" priority="2" stopIfTrue="1" operator="equal">
      <formula>"A32"</formula>
    </cfRule>
  </conditionalFormatting>
  <conditionalFormatting sqref="A63:B65 A66:A86">
    <cfRule type="cellIs" dxfId="0" priority="1" stopIfTrue="1" operator="equal">
      <formula>"A32"</formula>
    </cfRule>
  </conditionalFormatting>
  <pageMargins left="0.33" right="0" top="0.22" bottom="0.17" header="0.17" footer="0.19"/>
  <pageSetup scale="71" orientation="portrait" r:id="rId1"/>
  <headerFooter alignWithMargins="0">
    <oddHeader>&amp;C&amp;G</oddHeader>
    <oddFooter>&amp;R&amp;"Arial,Bold"&amp;6File:&amp;F</oddFooter>
  </headerFooter>
  <ignoredErrors>
    <ignoredError sqref="A35:G40 A42:G65 A41:F41 B67:G86 B66:G66 A66:A86 G4:G32" unlockedFormula="1"/>
    <ignoredError sqref="G41" formulaRange="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3"/>
  <sheetViews>
    <sheetView topLeftCell="A80" zoomScaleNormal="100" workbookViewId="0">
      <selection activeCell="A112" sqref="A112:H120"/>
    </sheetView>
  </sheetViews>
  <sheetFormatPr defaultRowHeight="12.75" x14ac:dyDescent="0.2"/>
  <cols>
    <col min="2" max="2" width="11.42578125" customWidth="1"/>
    <col min="4" max="4" width="11.85546875" customWidth="1"/>
    <col min="5" max="5" width="12.85546875" bestFit="1" customWidth="1"/>
    <col min="6" max="6" width="13.5703125" bestFit="1" customWidth="1"/>
    <col min="7" max="7" width="13.42578125" style="109" customWidth="1"/>
    <col min="8" max="8" width="16.42578125" style="22" customWidth="1"/>
    <col min="9" max="26" width="9.140625" style="145" customWidth="1"/>
    <col min="27" max="16384" width="9.140625" style="145"/>
  </cols>
  <sheetData>
    <row r="1" spans="1:8" ht="36.75" customHeight="1" x14ac:dyDescent="0.2">
      <c r="A1" s="296" t="str">
        <f>'PT-Example '!E1</f>
        <v>ALASKA DNR - OIL &amp; GAS  V 1.201308</v>
      </c>
      <c r="B1" s="256"/>
      <c r="C1" s="14"/>
      <c r="D1" s="14"/>
      <c r="E1" s="14"/>
      <c r="F1" s="297" t="str">
        <f>+'VV-Master'!F1</f>
        <v>TEMPLATE FORMATTED FOR FILING</v>
      </c>
      <c r="G1" s="14"/>
      <c r="H1" s="14"/>
    </row>
    <row r="2" spans="1:8" x14ac:dyDescent="0.2">
      <c r="A2" s="19" t="s">
        <v>39</v>
      </c>
      <c r="B2" s="1"/>
      <c r="C2" s="31" t="s">
        <v>45</v>
      </c>
      <c r="D2" s="1"/>
      <c r="E2" s="1"/>
      <c r="F2" s="344" t="str">
        <f>'PT-Example '!I2</f>
        <v>PT</v>
      </c>
      <c r="G2" s="20"/>
      <c r="H2" s="20"/>
    </row>
    <row r="3" spans="1:8" x14ac:dyDescent="0.2">
      <c r="A3" s="29" t="s">
        <v>33</v>
      </c>
      <c r="B3" s="1"/>
      <c r="C3" s="31" t="s">
        <v>43</v>
      </c>
      <c r="D3" s="1"/>
      <c r="E3" s="1"/>
      <c r="F3" s="344" t="str">
        <f>'PT-Example '!I3</f>
        <v>AL</v>
      </c>
      <c r="G3" s="21"/>
      <c r="H3" s="21"/>
    </row>
    <row r="4" spans="1:8" x14ac:dyDescent="0.2">
      <c r="A4" s="15" t="s">
        <v>40</v>
      </c>
      <c r="B4" s="16"/>
      <c r="C4" s="16"/>
      <c r="D4" s="16"/>
      <c r="E4" s="16"/>
      <c r="F4" s="344" t="str">
        <f>'PT-Example '!I4</f>
        <v>REG</v>
      </c>
      <c r="G4" s="23"/>
      <c r="H4" s="23"/>
    </row>
    <row r="5" spans="1:8" x14ac:dyDescent="0.2">
      <c r="A5" s="9" t="s">
        <v>14</v>
      </c>
      <c r="B5" s="10"/>
      <c r="C5" s="10"/>
      <c r="D5" s="10"/>
      <c r="E5" s="10"/>
      <c r="F5" s="344" t="str">
        <f>'PT-Example '!I5</f>
        <v>000012345</v>
      </c>
      <c r="G5" s="20"/>
      <c r="H5" s="20"/>
    </row>
    <row r="6" spans="1:8" x14ac:dyDescent="0.2">
      <c r="A6" s="9"/>
      <c r="B6" s="10"/>
      <c r="C6" s="10"/>
      <c r="D6" s="10"/>
      <c r="E6" s="10"/>
      <c r="F6" s="344"/>
      <c r="G6" s="20"/>
      <c r="H6" s="20"/>
    </row>
    <row r="7" spans="1:8" x14ac:dyDescent="0.2">
      <c r="A7" s="29" t="s">
        <v>15</v>
      </c>
      <c r="B7" s="10"/>
      <c r="C7" s="10"/>
      <c r="D7" s="10"/>
      <c r="E7" s="10"/>
      <c r="F7" s="345">
        <f>'PT-Example '!I7</f>
        <v>41640</v>
      </c>
      <c r="G7" s="20"/>
      <c r="H7" s="20"/>
    </row>
    <row r="8" spans="1:8" x14ac:dyDescent="0.2">
      <c r="A8" s="9" t="s">
        <v>17</v>
      </c>
      <c r="B8" s="10"/>
      <c r="C8" s="10"/>
      <c r="D8" s="10"/>
      <c r="E8" s="10"/>
      <c r="F8" s="344" t="str">
        <f>'PT-Example '!I8</f>
        <v>01</v>
      </c>
      <c r="G8" s="20"/>
      <c r="H8" s="20"/>
    </row>
    <row r="9" spans="1:8" x14ac:dyDescent="0.2">
      <c r="A9" s="9" t="s">
        <v>5</v>
      </c>
      <c r="B9" s="10"/>
      <c r="C9" s="10"/>
      <c r="D9" s="10"/>
      <c r="E9" s="10"/>
      <c r="F9" s="345">
        <f>'PT-Example '!I9</f>
        <v>41699</v>
      </c>
      <c r="G9" s="20"/>
      <c r="H9" s="20"/>
    </row>
    <row r="10" spans="1:8" x14ac:dyDescent="0.2">
      <c r="A10" s="9" t="s">
        <v>16</v>
      </c>
      <c r="B10" s="10"/>
      <c r="C10" s="10"/>
      <c r="D10" s="10"/>
      <c r="E10" s="10"/>
      <c r="F10" s="344" t="str">
        <f>'PT-Example '!I10</f>
        <v>000012345N03201400</v>
      </c>
      <c r="G10" s="20"/>
      <c r="H10" s="20"/>
    </row>
    <row r="11" spans="1:8" x14ac:dyDescent="0.2">
      <c r="A11" s="9" t="s">
        <v>13</v>
      </c>
      <c r="B11" s="10"/>
      <c r="C11" s="10"/>
      <c r="D11" s="10"/>
      <c r="E11" s="10"/>
      <c r="F11" s="345">
        <f>'PT-Example '!I11</f>
        <v>41729</v>
      </c>
      <c r="G11" s="20"/>
      <c r="H11" s="20"/>
    </row>
    <row r="12" spans="1:8" x14ac:dyDescent="0.2">
      <c r="A12" s="29" t="s">
        <v>7</v>
      </c>
      <c r="B12" s="10"/>
      <c r="C12" s="10"/>
      <c r="D12" s="10"/>
      <c r="E12" s="10"/>
      <c r="F12" s="344" t="str">
        <f>'PT-Example '!I12</f>
        <v>ADL #</v>
      </c>
      <c r="G12" s="20"/>
      <c r="H12" s="20"/>
    </row>
    <row r="13" spans="1:8" x14ac:dyDescent="0.2">
      <c r="A13" s="29"/>
      <c r="B13" s="10"/>
      <c r="C13" s="10"/>
      <c r="D13" s="10"/>
      <c r="E13" s="10"/>
      <c r="F13" s="346"/>
      <c r="G13" s="20"/>
      <c r="H13" s="20"/>
    </row>
    <row r="14" spans="1:8" x14ac:dyDescent="0.2">
      <c r="A14" s="29"/>
      <c r="B14" s="10"/>
      <c r="C14" s="10"/>
      <c r="D14" s="10"/>
      <c r="E14" s="10"/>
      <c r="F14" s="346"/>
      <c r="G14" s="20"/>
      <c r="H14" s="20"/>
    </row>
    <row r="15" spans="1:8" x14ac:dyDescent="0.2">
      <c r="A15" s="29"/>
      <c r="B15" s="10"/>
      <c r="C15" s="10"/>
      <c r="D15" s="10"/>
      <c r="E15" s="10"/>
      <c r="F15" s="346"/>
      <c r="G15" s="20"/>
      <c r="H15" s="20"/>
    </row>
    <row r="16" spans="1:8" x14ac:dyDescent="0.2">
      <c r="A16" s="29"/>
      <c r="B16" s="10"/>
      <c r="C16" s="10"/>
      <c r="D16" s="10"/>
      <c r="E16" s="10"/>
      <c r="F16" s="346"/>
      <c r="G16" s="20"/>
      <c r="H16" s="20"/>
    </row>
    <row r="17" spans="1:8" x14ac:dyDescent="0.2">
      <c r="A17" s="29"/>
      <c r="B17" s="10"/>
      <c r="C17" s="10"/>
      <c r="D17" s="10"/>
      <c r="E17" s="10"/>
      <c r="F17" s="346"/>
      <c r="G17" s="20"/>
      <c r="H17" s="20"/>
    </row>
    <row r="18" spans="1:8" x14ac:dyDescent="0.2">
      <c r="A18" s="29"/>
      <c r="B18" s="10"/>
      <c r="C18" s="10"/>
      <c r="D18" s="10"/>
      <c r="E18" s="10"/>
      <c r="F18" s="346"/>
      <c r="G18" s="23"/>
      <c r="H18" s="23"/>
    </row>
    <row r="19" spans="1:8" x14ac:dyDescent="0.2">
      <c r="A19" s="9" t="s">
        <v>22</v>
      </c>
      <c r="B19" s="10"/>
      <c r="C19" s="10"/>
      <c r="D19" s="10"/>
      <c r="E19" s="10"/>
      <c r="F19" s="346" t="str">
        <f>+'PT-Example '!I21</f>
        <v>XYZ Company</v>
      </c>
      <c r="G19" s="20"/>
      <c r="H19" s="20"/>
    </row>
    <row r="20" spans="1:8" x14ac:dyDescent="0.2">
      <c r="A20" s="9"/>
      <c r="B20" s="10"/>
      <c r="C20" s="10"/>
      <c r="D20" s="10"/>
      <c r="E20" s="10"/>
      <c r="F20" s="344"/>
      <c r="G20" s="20"/>
      <c r="H20" s="20"/>
    </row>
    <row r="21" spans="1:8" x14ac:dyDescent="0.2">
      <c r="A21" s="9" t="s">
        <v>0</v>
      </c>
      <c r="B21" s="10"/>
      <c r="C21" s="10"/>
      <c r="D21" s="10"/>
      <c r="E21" s="10"/>
      <c r="F21" s="346" t="str">
        <f>+'PT-Example '!I23</f>
        <v>Enter Data</v>
      </c>
      <c r="G21" s="20"/>
      <c r="H21" s="20"/>
    </row>
    <row r="22" spans="1:8" x14ac:dyDescent="0.2">
      <c r="A22" s="9" t="s">
        <v>1</v>
      </c>
      <c r="B22" s="10"/>
      <c r="C22" s="10"/>
      <c r="D22" s="10"/>
      <c r="E22" s="10"/>
      <c r="F22" s="346" t="str">
        <f>+'PT-Example '!I24</f>
        <v>Enter Data</v>
      </c>
      <c r="G22" s="20"/>
      <c r="H22" s="20"/>
    </row>
    <row r="23" spans="1:8" x14ac:dyDescent="0.2">
      <c r="A23" s="9" t="s">
        <v>2</v>
      </c>
      <c r="B23" s="10"/>
      <c r="C23" s="10"/>
      <c r="D23" s="10"/>
      <c r="E23" s="10"/>
      <c r="F23" s="346" t="str">
        <f>+'PT-Example '!I25</f>
        <v>Enter Data</v>
      </c>
      <c r="G23" s="20"/>
      <c r="H23" s="20"/>
    </row>
    <row r="24" spans="1:8" x14ac:dyDescent="0.2">
      <c r="A24" s="9" t="s">
        <v>3</v>
      </c>
      <c r="B24" s="10"/>
      <c r="C24" s="10"/>
      <c r="D24" s="10"/>
      <c r="E24" s="10"/>
      <c r="F24" s="346" t="str">
        <f>+'PT-Example '!I26</f>
        <v>Enter Data</v>
      </c>
      <c r="G24" s="20"/>
      <c r="H24" s="20"/>
    </row>
    <row r="25" spans="1:8" x14ac:dyDescent="0.2">
      <c r="A25" s="9" t="s">
        <v>4</v>
      </c>
      <c r="B25" s="10"/>
      <c r="C25" s="10"/>
      <c r="D25" s="10"/>
      <c r="E25" s="10"/>
      <c r="F25" s="346" t="str">
        <f>+'PT-Example '!I27</f>
        <v>Enter Data</v>
      </c>
      <c r="G25" s="20"/>
      <c r="H25" s="20"/>
    </row>
    <row r="26" spans="1:8" x14ac:dyDescent="0.2">
      <c r="A26" s="9" t="s">
        <v>6</v>
      </c>
      <c r="B26" s="10"/>
      <c r="C26" s="10"/>
      <c r="D26" s="10"/>
      <c r="E26" s="10"/>
      <c r="F26" s="346" t="str">
        <f>+'PT-Example '!I28</f>
        <v>Enter Data</v>
      </c>
      <c r="G26" s="20"/>
      <c r="H26" s="20"/>
    </row>
    <row r="27" spans="1:8" x14ac:dyDescent="0.2">
      <c r="A27" s="9" t="s">
        <v>8</v>
      </c>
      <c r="B27" s="10"/>
      <c r="C27" s="10"/>
      <c r="D27" s="10"/>
      <c r="E27" s="10"/>
      <c r="F27" s="346" t="str">
        <f>+'PT-Example '!I29</f>
        <v>Enter Data</v>
      </c>
      <c r="G27" s="20"/>
      <c r="H27" s="20"/>
    </row>
    <row r="28" spans="1:8" x14ac:dyDescent="0.2">
      <c r="A28" s="9" t="s">
        <v>9</v>
      </c>
      <c r="B28" s="10"/>
      <c r="C28" s="10"/>
      <c r="D28" s="10"/>
      <c r="E28" s="10"/>
      <c r="F28" s="346" t="str">
        <f>+'PT-Example '!I30</f>
        <v>Enter Data</v>
      </c>
      <c r="G28" s="20"/>
      <c r="H28" s="20"/>
    </row>
    <row r="29" spans="1:8" x14ac:dyDescent="0.2">
      <c r="A29" s="9" t="s">
        <v>12</v>
      </c>
      <c r="B29" s="10"/>
      <c r="C29" s="10"/>
      <c r="D29" s="10"/>
      <c r="E29" s="10"/>
      <c r="F29" s="346" t="str">
        <f>+'PT-Example '!I31</f>
        <v>Enter Data</v>
      </c>
      <c r="G29" s="20"/>
      <c r="H29" s="20"/>
    </row>
    <row r="30" spans="1:8" x14ac:dyDescent="0.2">
      <c r="A30" s="9" t="s">
        <v>18</v>
      </c>
      <c r="B30" s="10"/>
      <c r="C30" s="10"/>
      <c r="D30" s="10"/>
      <c r="E30" s="10"/>
      <c r="F30" s="346" t="str">
        <f>+'PT-Example '!I32</f>
        <v>Enter Data</v>
      </c>
      <c r="G30" s="20"/>
      <c r="H30" s="20"/>
    </row>
    <row r="31" spans="1:8" x14ac:dyDescent="0.2">
      <c r="A31" s="9" t="s">
        <v>10</v>
      </c>
      <c r="B31" s="10"/>
      <c r="C31" s="10"/>
      <c r="D31" s="10"/>
      <c r="E31" s="10"/>
      <c r="F31" s="346" t="str">
        <f>+'PT-Example '!I33</f>
        <v>Enter Data</v>
      </c>
      <c r="G31" s="20"/>
      <c r="H31" s="20"/>
    </row>
    <row r="32" spans="1:8" x14ac:dyDescent="0.2">
      <c r="A32" s="9" t="s">
        <v>11</v>
      </c>
      <c r="B32" s="10"/>
      <c r="C32" s="10"/>
      <c r="D32" s="10"/>
      <c r="E32" s="10"/>
      <c r="F32" s="346" t="str">
        <f>+'PT-Example '!I34</f>
        <v>Enter Data</v>
      </c>
      <c r="G32" s="20"/>
      <c r="H32" s="20"/>
    </row>
    <row r="33" spans="1:9" ht="22.5" x14ac:dyDescent="0.2">
      <c r="A33" s="343" t="s">
        <v>19</v>
      </c>
      <c r="B33" s="343" t="s">
        <v>37</v>
      </c>
      <c r="C33" s="343" t="s">
        <v>24</v>
      </c>
      <c r="D33" s="343" t="s">
        <v>20</v>
      </c>
      <c r="E33" s="343" t="s">
        <v>30</v>
      </c>
      <c r="F33" s="343" t="s">
        <v>31</v>
      </c>
      <c r="G33" s="343" t="s">
        <v>25</v>
      </c>
      <c r="H33" s="343" t="s">
        <v>21</v>
      </c>
      <c r="I33" s="250"/>
    </row>
    <row r="34" spans="1:9" x14ac:dyDescent="0.2">
      <c r="A34" s="342">
        <f>'PT-Example '!E36</f>
        <v>1</v>
      </c>
      <c r="B34" s="342" t="str">
        <f>'PT-Example '!F36</f>
        <v>PTR</v>
      </c>
      <c r="C34" s="342" t="str">
        <f>'PT-Example '!G36</f>
        <v>PR</v>
      </c>
      <c r="D34" s="342" t="str">
        <f>'PT-Example '!H36</f>
        <v>TCR</v>
      </c>
      <c r="E34" s="121"/>
      <c r="F34" s="130"/>
      <c r="G34" s="124"/>
      <c r="H34" s="299">
        <f>'PT-Example '!L36</f>
        <v>-78170230.074719578</v>
      </c>
    </row>
    <row r="35" spans="1:9" x14ac:dyDescent="0.2">
      <c r="A35" s="18">
        <f>'PT-Example '!E37</f>
        <v>2</v>
      </c>
      <c r="B35" s="18" t="str">
        <f>'PT-Example '!F37</f>
        <v>PTR</v>
      </c>
      <c r="C35" s="18" t="str">
        <f>'PT-Example '!G37</f>
        <v>PR</v>
      </c>
      <c r="D35" s="18" t="str">
        <f>'PT-Example '!H37</f>
        <v>TOI</v>
      </c>
      <c r="E35" s="120"/>
      <c r="F35" s="131"/>
      <c r="G35" s="125"/>
      <c r="H35" s="299">
        <f>'PT-Example '!L37</f>
        <v>4501.2199999999993</v>
      </c>
    </row>
    <row r="36" spans="1:9" x14ac:dyDescent="0.2">
      <c r="A36" s="18">
        <f>'PT-Example '!E38</f>
        <v>3</v>
      </c>
      <c r="B36" s="18" t="str">
        <f>'PT-Example '!F38</f>
        <v>PTR</v>
      </c>
      <c r="C36" s="18" t="str">
        <f>'PT-Example '!G38</f>
        <v>PR</v>
      </c>
      <c r="D36" s="18" t="str">
        <f>'PT-Example '!H38</f>
        <v>OVHR</v>
      </c>
      <c r="E36" s="120"/>
      <c r="F36" s="132"/>
      <c r="G36" s="122">
        <f>'PT-Example '!L38</f>
        <v>0.09</v>
      </c>
      <c r="H36" s="299"/>
    </row>
    <row r="37" spans="1:9" x14ac:dyDescent="0.2">
      <c r="A37" s="18">
        <f>'PT-Example '!E39</f>
        <v>4</v>
      </c>
      <c r="B37" s="18" t="str">
        <f>'PT-Example '!F39</f>
        <v>PTR</v>
      </c>
      <c r="C37" s="18" t="str">
        <f>'PT-Example '!G39</f>
        <v>PR</v>
      </c>
      <c r="D37" s="18" t="str">
        <f>'PT-Example '!H39</f>
        <v>GOAE</v>
      </c>
      <c r="E37" s="120"/>
      <c r="F37" s="132"/>
      <c r="G37" s="122"/>
      <c r="H37" s="299">
        <f>ROUND('PT-Example '!L39,2)</f>
        <v>405.11</v>
      </c>
    </row>
    <row r="38" spans="1:9" x14ac:dyDescent="0.2">
      <c r="A38" s="18">
        <f>'PT-Example '!E40</f>
        <v>5</v>
      </c>
      <c r="B38" s="18" t="str">
        <f>'PT-Example '!F40</f>
        <v>PTR</v>
      </c>
      <c r="C38" s="18" t="str">
        <f>'PT-Example '!G40</f>
        <v>PR</v>
      </c>
      <c r="D38" s="18" t="str">
        <f>'PT-Example '!H40</f>
        <v>AVT</v>
      </c>
      <c r="E38" s="120"/>
      <c r="F38" s="132"/>
      <c r="G38" s="122"/>
      <c r="H38" s="299">
        <f>ROUND('PT-Example '!L40,2)</f>
        <v>1500.88</v>
      </c>
    </row>
    <row r="39" spans="1:9" x14ac:dyDescent="0.2">
      <c r="A39" s="18">
        <f>'PT-Example '!E41</f>
        <v>6</v>
      </c>
      <c r="B39" s="18" t="str">
        <f>'PT-Example '!F41</f>
        <v>PTR</v>
      </c>
      <c r="C39" s="18" t="str">
        <f>'PT-Example '!G41</f>
        <v>PR</v>
      </c>
      <c r="D39" s="18" t="str">
        <f>'PT-Example '!H41</f>
        <v>NOP</v>
      </c>
      <c r="E39" s="120"/>
      <c r="F39" s="132"/>
      <c r="G39" s="122"/>
      <c r="H39" s="299">
        <f>'PT-Example '!L41</f>
        <v>5000.12</v>
      </c>
    </row>
    <row r="40" spans="1:9" x14ac:dyDescent="0.2">
      <c r="A40" s="18">
        <f>'PT-Example '!E42</f>
        <v>7</v>
      </c>
      <c r="B40" s="18" t="str">
        <f>'PT-Example '!F42</f>
        <v>PTR</v>
      </c>
      <c r="C40" s="18" t="str">
        <f>'PT-Example '!G42</f>
        <v>PR</v>
      </c>
      <c r="D40" s="18" t="str">
        <f>'PT-Example '!H42</f>
        <v>AANOH</v>
      </c>
      <c r="E40" s="120"/>
      <c r="F40" s="132"/>
      <c r="G40" s="122"/>
      <c r="H40" s="299">
        <f>ROUND('PT-Example '!L42,2)</f>
        <v>0</v>
      </c>
    </row>
    <row r="41" spans="1:9" x14ac:dyDescent="0.2">
      <c r="A41" s="18">
        <f>'PT-Example '!E43</f>
        <v>8</v>
      </c>
      <c r="B41" s="18" t="str">
        <f>'PT-Example '!F43</f>
        <v>PTR</v>
      </c>
      <c r="C41" s="18" t="str">
        <f>'PT-Example '!G43</f>
        <v>PR</v>
      </c>
      <c r="D41" s="18" t="str">
        <f>'PT-Example '!H43</f>
        <v>TRYE</v>
      </c>
      <c r="E41" s="120"/>
      <c r="F41" s="132"/>
      <c r="G41" s="122"/>
      <c r="H41" s="299">
        <f>ROUND('PT-Example '!L43,2)</f>
        <v>8794235.3300000001</v>
      </c>
    </row>
    <row r="42" spans="1:9" x14ac:dyDescent="0.2">
      <c r="A42" s="18">
        <f>'PT-Example '!E44</f>
        <v>9</v>
      </c>
      <c r="B42" s="18" t="str">
        <f>'PT-Example '!F44</f>
        <v>PTR</v>
      </c>
      <c r="C42" s="18" t="str">
        <f>'PT-Example '!G44</f>
        <v>PT</v>
      </c>
      <c r="D42" s="18" t="str">
        <f>'PT-Example '!H44</f>
        <v>KPRK</v>
      </c>
      <c r="E42" s="120"/>
      <c r="F42" s="132">
        <f>'PT-Example '!L44</f>
        <v>2</v>
      </c>
      <c r="G42" s="122"/>
      <c r="H42" s="299"/>
    </row>
    <row r="43" spans="1:9" x14ac:dyDescent="0.2">
      <c r="A43" s="18">
        <f>'PT-Example '!E45</f>
        <v>10</v>
      </c>
      <c r="B43" s="18" t="str">
        <f>'PT-Example '!F45</f>
        <v>PTR</v>
      </c>
      <c r="C43" s="18" t="str">
        <f>'PT-Example '!G45</f>
        <v>PT</v>
      </c>
      <c r="D43" s="18" t="str">
        <f>'PT-Example '!H45</f>
        <v>BNDCPT</v>
      </c>
      <c r="E43" s="120"/>
      <c r="F43" s="132"/>
      <c r="G43" s="122"/>
      <c r="H43" s="299">
        <f>ROUND('PT-Example '!L45,2)</f>
        <v>0</v>
      </c>
    </row>
    <row r="44" spans="1:9" x14ac:dyDescent="0.2">
      <c r="A44" s="18">
        <f>'PT-Example '!E46</f>
        <v>11</v>
      </c>
      <c r="B44" s="18" t="str">
        <f>'PT-Example '!F46</f>
        <v>PTR</v>
      </c>
      <c r="C44" s="18" t="str">
        <f>'PT-Example '!G46</f>
        <v>PT</v>
      </c>
      <c r="D44" s="18" t="str">
        <f>'PT-Example '!H46</f>
        <v>NDCPT</v>
      </c>
      <c r="E44" s="120"/>
      <c r="F44" s="132"/>
      <c r="G44" s="122"/>
      <c r="H44" s="299">
        <f>ROUND('PT-Example '!L46,2)</f>
        <v>11407.33</v>
      </c>
    </row>
    <row r="45" spans="1:9" x14ac:dyDescent="0.2">
      <c r="A45" s="18">
        <f>'PT-Example '!E47</f>
        <v>12</v>
      </c>
      <c r="B45" s="18" t="str">
        <f>'PT-Example '!F47</f>
        <v>PTR</v>
      </c>
      <c r="C45" s="18" t="str">
        <f>'PT-Example '!G47</f>
        <v>DV</v>
      </c>
      <c r="D45" s="18" t="str">
        <f>'PT-Example '!H47</f>
        <v>TOI</v>
      </c>
      <c r="E45" s="120"/>
      <c r="F45" s="132"/>
      <c r="G45" s="122"/>
      <c r="H45" s="299">
        <f>ROUND('PT-Example '!L47,2)</f>
        <v>2600001.4500000002</v>
      </c>
    </row>
    <row r="46" spans="1:9" x14ac:dyDescent="0.2">
      <c r="A46" s="18">
        <f>'PT-Example '!E48</f>
        <v>13</v>
      </c>
      <c r="B46" s="18" t="str">
        <f>'PT-Example '!F48</f>
        <v>PTR</v>
      </c>
      <c r="C46" s="136" t="str">
        <f>'PT-Example '!G48</f>
        <v>DV</v>
      </c>
      <c r="D46" s="18" t="str">
        <f>'PT-Example '!H48</f>
        <v>OVHR</v>
      </c>
      <c r="E46" s="120"/>
      <c r="F46" s="131"/>
      <c r="G46" s="122">
        <f>ROUND('PT-Example '!L48,2)</f>
        <v>0.03</v>
      </c>
      <c r="H46" s="299"/>
    </row>
    <row r="47" spans="1:9" x14ac:dyDescent="0.2">
      <c r="A47" s="18">
        <f>'PT-Example '!E49</f>
        <v>14</v>
      </c>
      <c r="B47" s="18" t="str">
        <f>'PT-Example '!F49</f>
        <v>PTR</v>
      </c>
      <c r="C47" s="141" t="str">
        <f>'PT-Example '!G49</f>
        <v>DV</v>
      </c>
      <c r="D47" s="18" t="str">
        <f>'PT-Example '!H49</f>
        <v>GOAE</v>
      </c>
      <c r="E47" s="120"/>
      <c r="F47" s="131"/>
      <c r="G47" s="122"/>
      <c r="H47" s="299">
        <f>ROUND('PT-Example '!L49,2)</f>
        <v>78000.039999999994</v>
      </c>
    </row>
    <row r="48" spans="1:9" x14ac:dyDescent="0.2">
      <c r="A48" s="18">
        <f>'PT-Example '!E50</f>
        <v>15</v>
      </c>
      <c r="B48" s="18" t="str">
        <f>'PT-Example '!F50</f>
        <v>PTR</v>
      </c>
      <c r="C48" s="18" t="str">
        <f>'PT-Example '!G50</f>
        <v>DV</v>
      </c>
      <c r="D48" s="18" t="str">
        <f>'PT-Example '!H50</f>
        <v>RTO</v>
      </c>
      <c r="E48" s="120"/>
      <c r="F48" s="132"/>
      <c r="G48" s="122"/>
      <c r="H48" s="299">
        <f>ROUND('PT-Example '!L50,2)</f>
        <v>0</v>
      </c>
    </row>
    <row r="49" spans="1:8" x14ac:dyDescent="0.2">
      <c r="A49" s="18">
        <f>'PT-Example '!E51</f>
        <v>16</v>
      </c>
      <c r="B49" s="18" t="str">
        <f>'PT-Example '!F51</f>
        <v>PTR</v>
      </c>
      <c r="C49" s="18" t="str">
        <f>'PT-Example '!G51</f>
        <v>PT</v>
      </c>
      <c r="D49" s="18" t="str">
        <f>'PT-Example '!H51</f>
        <v>CEER</v>
      </c>
      <c r="E49" s="120"/>
      <c r="F49" s="310">
        <f>ROUND('PT-Example '!L51,2)</f>
        <v>-0.3</v>
      </c>
      <c r="G49" s="122"/>
      <c r="H49" s="299"/>
    </row>
    <row r="50" spans="1:8" x14ac:dyDescent="0.2">
      <c r="A50" s="18">
        <f>'PT-Example '!E52</f>
        <v>17</v>
      </c>
      <c r="B50" s="18" t="str">
        <f>'PT-Example '!F52</f>
        <v>PTR</v>
      </c>
      <c r="C50" s="18" t="str">
        <f>'PT-Example '!G52</f>
        <v>PT</v>
      </c>
      <c r="D50" s="18" t="str">
        <f>'PT-Example '!H52</f>
        <v>EXCAP</v>
      </c>
      <c r="E50" s="120"/>
      <c r="F50" s="132"/>
      <c r="G50" s="122"/>
      <c r="H50" s="299">
        <f>ROUND('PT-Example '!L52,2)</f>
        <v>-213082.57</v>
      </c>
    </row>
    <row r="51" spans="1:8" x14ac:dyDescent="0.2">
      <c r="A51" s="18">
        <f>'PT-Example '!E53</f>
        <v>18</v>
      </c>
      <c r="B51" s="18" t="str">
        <f>'PT-Example '!F53</f>
        <v>PTR</v>
      </c>
      <c r="C51" s="18" t="str">
        <f>'PT-Example '!G53</f>
        <v>PT</v>
      </c>
      <c r="D51" s="18" t="str">
        <f>'PT-Example '!H53</f>
        <v>QCE</v>
      </c>
      <c r="E51" s="120"/>
      <c r="F51" s="132"/>
      <c r="G51" s="122"/>
      <c r="H51" s="299">
        <f>ROUND('PT-Example '!L53,2)</f>
        <v>2386918.88</v>
      </c>
    </row>
    <row r="52" spans="1:8" x14ac:dyDescent="0.2">
      <c r="A52" s="18">
        <f>'PT-Example '!E54</f>
        <v>19</v>
      </c>
      <c r="B52" s="18" t="str">
        <f>'PT-Example '!F54</f>
        <v>PTR</v>
      </c>
      <c r="C52" s="18" t="str">
        <f>'PT-Example '!G54</f>
        <v>DV</v>
      </c>
      <c r="D52" s="18" t="str">
        <f>'PT-Example '!H54</f>
        <v>CAPF</v>
      </c>
      <c r="E52" s="120"/>
      <c r="F52" s="132"/>
      <c r="G52" s="122"/>
      <c r="H52" s="299">
        <f>ROUND('PT-Example '!L54,2)</f>
        <v>768000.12</v>
      </c>
    </row>
    <row r="53" spans="1:8" x14ac:dyDescent="0.2">
      <c r="A53" s="18">
        <f>'PT-Example '!E55</f>
        <v>20</v>
      </c>
      <c r="B53" s="18" t="str">
        <f>'PT-Example '!F55</f>
        <v>PTR</v>
      </c>
      <c r="C53" s="18" t="str">
        <f>'PT-Example '!G55</f>
        <v>PT</v>
      </c>
      <c r="D53" s="18" t="str">
        <f>'PT-Example '!H55</f>
        <v>TPTD</v>
      </c>
      <c r="E53" s="120"/>
      <c r="F53" s="132"/>
      <c r="G53" s="122"/>
      <c r="H53" s="299">
        <f>ROUND('PT-Example '!L55,2)</f>
        <v>3232919.04</v>
      </c>
    </row>
    <row r="54" spans="1:8" x14ac:dyDescent="0.2">
      <c r="A54" s="18">
        <f>'PT-Example '!E56</f>
        <v>21</v>
      </c>
      <c r="B54" s="18" t="str">
        <f>'PT-Example '!F56</f>
        <v>PTR</v>
      </c>
      <c r="C54" s="18" t="str">
        <f>'PT-Example '!G56</f>
        <v>PT</v>
      </c>
      <c r="D54" s="18" t="str">
        <f>'PT-Example '!H56</f>
        <v>GVPOP</v>
      </c>
      <c r="E54" s="120"/>
      <c r="F54" s="132"/>
      <c r="G54" s="122"/>
      <c r="H54" s="299">
        <f>ROUND('PT-Example '!L56,2)</f>
        <v>-69375994.739999995</v>
      </c>
    </row>
    <row r="55" spans="1:8" x14ac:dyDescent="0.2">
      <c r="A55" s="18">
        <f>'PT-Example '!E57</f>
        <v>22</v>
      </c>
      <c r="B55" s="18" t="str">
        <f>'PT-Example '!F57</f>
        <v>PTR</v>
      </c>
      <c r="C55" s="18" t="str">
        <f>'PT-Example '!G57</f>
        <v>PT</v>
      </c>
      <c r="D55" s="18" t="str">
        <f>'PT-Example '!H57</f>
        <v>PTNO</v>
      </c>
      <c r="E55" s="299">
        <f>ROUND('PT-Example '!L57,2)</f>
        <v>200000</v>
      </c>
      <c r="F55" s="132"/>
      <c r="G55" s="122"/>
      <c r="H55" s="299"/>
    </row>
    <row r="56" spans="1:8" x14ac:dyDescent="0.2">
      <c r="A56" s="18">
        <f>'PT-Example '!E58</f>
        <v>23</v>
      </c>
      <c r="B56" s="18" t="str">
        <f>'PT-Example '!F58</f>
        <v>PTR</v>
      </c>
      <c r="C56" s="18" t="str">
        <f>'PT-Example '!G58</f>
        <v>PT</v>
      </c>
      <c r="D56" s="18" t="str">
        <f>'PT-Example '!H58</f>
        <v>PTHRO</v>
      </c>
      <c r="E56" s="299">
        <f>ROUND('PT-Example '!L58,2)</f>
        <v>50000</v>
      </c>
      <c r="F56" s="132"/>
      <c r="G56" s="122"/>
      <c r="H56" s="299"/>
    </row>
    <row r="57" spans="1:8" x14ac:dyDescent="0.2">
      <c r="A57" s="18">
        <f>'PT-Example '!E59</f>
        <v>24</v>
      </c>
      <c r="B57" s="18" t="str">
        <f>'PT-Example '!F59</f>
        <v>PTR</v>
      </c>
      <c r="C57" s="18" t="str">
        <f>'PT-Example '!G59</f>
        <v>PT</v>
      </c>
      <c r="D57" s="18" t="str">
        <f>'PT-Example '!H59</f>
        <v>PTWIOT</v>
      </c>
      <c r="E57" s="299">
        <f>ROUND('PT-Example '!L59,2)</f>
        <v>710000.11</v>
      </c>
      <c r="F57" s="132"/>
      <c r="G57" s="122"/>
      <c r="H57" s="299"/>
    </row>
    <row r="58" spans="1:8" x14ac:dyDescent="0.2">
      <c r="A58" s="18">
        <f>'PT-Example '!E60</f>
        <v>25</v>
      </c>
      <c r="B58" s="18" t="str">
        <f>'PT-Example '!F60</f>
        <v>PTR</v>
      </c>
      <c r="C58" s="18" t="str">
        <f>'PT-Example '!G60</f>
        <v>PT</v>
      </c>
      <c r="D58" s="18" t="str">
        <f>'PT-Example '!H60</f>
        <v>GVPOPO</v>
      </c>
      <c r="E58" s="299">
        <f>ROUND('PT-Example '!L60,2)</f>
        <v>61553737.130000003</v>
      </c>
      <c r="F58" s="132"/>
      <c r="G58" s="122"/>
      <c r="H58" s="299"/>
    </row>
    <row r="59" spans="1:8" x14ac:dyDescent="0.2">
      <c r="A59" s="18">
        <f>'PT-Example '!E61</f>
        <v>26</v>
      </c>
      <c r="B59" s="18" t="str">
        <f>'PT-Example '!F61</f>
        <v>PTR</v>
      </c>
      <c r="C59" s="18" t="str">
        <f>'PT-Example '!G61</f>
        <v>PT</v>
      </c>
      <c r="D59" s="18" t="str">
        <f>'PT-Example '!H61</f>
        <v>NOGVPOP</v>
      </c>
      <c r="E59" s="120"/>
      <c r="F59" s="132"/>
      <c r="G59" s="122"/>
      <c r="H59" s="299">
        <f>ROUND('PT-Example '!L61,2)</f>
        <v>17339078.280000001</v>
      </c>
    </row>
    <row r="60" spans="1:8" x14ac:dyDescent="0.2">
      <c r="A60" s="18">
        <f>'PT-Example '!E62</f>
        <v>27</v>
      </c>
      <c r="B60" s="18" t="str">
        <f>'PT-Example '!F62</f>
        <v>PTR</v>
      </c>
      <c r="C60" s="18" t="str">
        <f>'PT-Example '!G62</f>
        <v>PT</v>
      </c>
      <c r="D60" s="18" t="str">
        <f>'PT-Example '!H62</f>
        <v>NOHRGVP</v>
      </c>
      <c r="E60" s="120"/>
      <c r="F60" s="132"/>
      <c r="G60" s="122"/>
      <c r="H60" s="299">
        <f>ROUND('PT-Example '!L62,2)</f>
        <v>4334769.57</v>
      </c>
    </row>
    <row r="61" spans="1:8" x14ac:dyDescent="0.2">
      <c r="A61" s="18">
        <f>'PT-Example '!E63</f>
        <v>28</v>
      </c>
      <c r="B61" s="18" t="str">
        <f>'PT-Example '!F63</f>
        <v>PTR</v>
      </c>
      <c r="C61" s="18" t="str">
        <f>'PT-Example '!G63</f>
        <v>PT</v>
      </c>
      <c r="D61" s="18" t="str">
        <f>'PT-Example '!H63</f>
        <v>NNOHRGVP</v>
      </c>
      <c r="E61" s="120"/>
      <c r="F61" s="132"/>
      <c r="G61" s="122"/>
      <c r="H61" s="299">
        <f>ROUND('PT-Example '!L63,2)</f>
        <v>13004308.710000001</v>
      </c>
    </row>
    <row r="62" spans="1:8" x14ac:dyDescent="0.2">
      <c r="A62" s="18">
        <f>'PT-Example '!E64</f>
        <v>29</v>
      </c>
      <c r="B62" s="18" t="str">
        <f>'PT-Example '!F64</f>
        <v>PTR</v>
      </c>
      <c r="C62" s="18" t="str">
        <f>'PT-Example '!G64</f>
        <v>PT</v>
      </c>
      <c r="D62" s="18" t="str">
        <f>'PT-Example '!H64</f>
        <v>PTNG</v>
      </c>
      <c r="E62" s="299">
        <f>ROUND('PT-Example '!L64,2)</f>
        <v>500</v>
      </c>
      <c r="F62" s="132"/>
      <c r="G62" s="122"/>
      <c r="H62" s="299"/>
    </row>
    <row r="63" spans="1:8" x14ac:dyDescent="0.2">
      <c r="A63" s="18">
        <f>'PT-Example '!E65</f>
        <v>30</v>
      </c>
      <c r="B63" s="18" t="str">
        <f>'PT-Example '!F65</f>
        <v>PTR</v>
      </c>
      <c r="C63" s="18" t="str">
        <f>'PT-Example '!G65</f>
        <v>PT</v>
      </c>
      <c r="D63" s="18" t="str">
        <f>'PT-Example '!H65</f>
        <v>PTHRG</v>
      </c>
      <c r="E63" s="299">
        <f>ROUND('PT-Example '!L65,2)</f>
        <v>100</v>
      </c>
      <c r="F63" s="132"/>
      <c r="G63" s="122"/>
      <c r="H63" s="299"/>
    </row>
    <row r="64" spans="1:8" x14ac:dyDescent="0.2">
      <c r="A64" s="18">
        <f>'PT-Example '!E66</f>
        <v>31</v>
      </c>
      <c r="B64" s="18" t="str">
        <f>'PT-Example '!F66</f>
        <v>PTR</v>
      </c>
      <c r="C64" s="18" t="str">
        <f>'PT-Example '!G66</f>
        <v>PT</v>
      </c>
      <c r="D64" s="18" t="str">
        <f>'PT-Example '!H66</f>
        <v>PTWIOG</v>
      </c>
      <c r="E64" s="299">
        <f>ROUND('PT-Example '!L66,2)</f>
        <v>1650.85</v>
      </c>
      <c r="F64" s="132"/>
      <c r="G64" s="122"/>
      <c r="H64" s="299"/>
    </row>
    <row r="65" spans="1:8" x14ac:dyDescent="0.2">
      <c r="A65" s="18">
        <f>'PT-Example '!E67</f>
        <v>32</v>
      </c>
      <c r="B65" s="18" t="str">
        <f>'PT-Example '!F67</f>
        <v>PTR</v>
      </c>
      <c r="C65" s="18" t="str">
        <f>'PT-Example '!G67</f>
        <v>PT</v>
      </c>
      <c r="D65" s="18" t="str">
        <f>'PT-Example '!H67</f>
        <v>GVPOPG</v>
      </c>
      <c r="E65" s="299">
        <f>ROUND('PT-Example '!L67,2)</f>
        <v>5910.04</v>
      </c>
      <c r="F65" s="132"/>
      <c r="G65" s="122"/>
      <c r="H65" s="299"/>
    </row>
    <row r="66" spans="1:8" x14ac:dyDescent="0.2">
      <c r="A66" s="18">
        <f>'PT-Example '!E68</f>
        <v>33</v>
      </c>
      <c r="B66" s="18" t="str">
        <f>'PT-Example '!F68</f>
        <v>PTR</v>
      </c>
      <c r="C66" s="18" t="str">
        <f>'PT-Example '!G68</f>
        <v>PT</v>
      </c>
      <c r="D66" s="18" t="str">
        <f>'PT-Example '!H68</f>
        <v>NOGVPOG</v>
      </c>
      <c r="E66" s="121"/>
      <c r="F66" s="132"/>
      <c r="G66" s="122"/>
      <c r="H66" s="299">
        <f>ROUND('PT-Example '!L68,2)</f>
        <v>1790</v>
      </c>
    </row>
    <row r="67" spans="1:8" x14ac:dyDescent="0.2">
      <c r="A67" s="18">
        <f>'PT-Example '!E69</f>
        <v>34</v>
      </c>
      <c r="B67" s="18" t="str">
        <f>'PT-Example '!F69</f>
        <v>PTR</v>
      </c>
      <c r="C67" s="18" t="str">
        <f>'PT-Example '!G69</f>
        <v>PT</v>
      </c>
      <c r="D67" s="18" t="str">
        <f>'PT-Example '!H69</f>
        <v>NOHRGVG</v>
      </c>
      <c r="E67" s="121"/>
      <c r="F67" s="132"/>
      <c r="G67" s="122"/>
      <c r="H67" s="299">
        <f>ROUND('PT-Example '!L69,2)</f>
        <v>358</v>
      </c>
    </row>
    <row r="68" spans="1:8" x14ac:dyDescent="0.2">
      <c r="A68" s="18">
        <f>'PT-Example '!E70</f>
        <v>35</v>
      </c>
      <c r="B68" s="18" t="str">
        <f>'PT-Example '!F70</f>
        <v>PTR</v>
      </c>
      <c r="C68" s="18" t="str">
        <f>'PT-Example '!G70</f>
        <v>PT</v>
      </c>
      <c r="D68" s="18" t="str">
        <f>'PT-Example '!H70</f>
        <v>NNOHRGVG</v>
      </c>
      <c r="E68" s="121"/>
      <c r="F68" s="132"/>
      <c r="G68" s="122"/>
      <c r="H68" s="299">
        <f>ROUND('PT-Example '!L70,2)</f>
        <v>1432</v>
      </c>
    </row>
    <row r="69" spans="1:8" x14ac:dyDescent="0.2">
      <c r="A69" s="18">
        <f>'PT-Example '!E71</f>
        <v>36</v>
      </c>
      <c r="B69" s="18" t="str">
        <f>'PT-Example '!F71</f>
        <v>PTR</v>
      </c>
      <c r="C69" s="18" t="str">
        <f>'PT-Example '!G71</f>
        <v>PT</v>
      </c>
      <c r="D69" s="18" t="str">
        <f>'PT-Example '!H71</f>
        <v>GVR</v>
      </c>
      <c r="E69" s="299"/>
      <c r="F69" s="132"/>
      <c r="G69" s="122"/>
      <c r="H69" s="299">
        <f>ROUND('PT-Example '!L71,2)</f>
        <v>-3901686.41</v>
      </c>
    </row>
    <row r="70" spans="1:8" x14ac:dyDescent="0.2">
      <c r="A70" s="18">
        <f>'PT-Example '!E72</f>
        <v>37</v>
      </c>
      <c r="B70" s="18" t="str">
        <f>'PT-Example '!F72</f>
        <v>PTR</v>
      </c>
      <c r="C70" s="18" t="str">
        <f>'PT-Example '!G72</f>
        <v>PT</v>
      </c>
      <c r="D70" s="18" t="str">
        <f>'PT-Example '!H72</f>
        <v>AGVPOP</v>
      </c>
      <c r="E70" s="299"/>
      <c r="F70" s="132"/>
      <c r="G70" s="122"/>
      <c r="H70" s="299">
        <f>ROUND('PT-Example '!L72,2)</f>
        <v>-73277681.159999996</v>
      </c>
    </row>
    <row r="71" spans="1:8" x14ac:dyDescent="0.2">
      <c r="A71" s="18">
        <f>'PT-Example '!E73</f>
        <v>38</v>
      </c>
      <c r="B71" s="18" t="str">
        <f>'PT-Example '!F73</f>
        <v>PTR</v>
      </c>
      <c r="C71" s="18" t="str">
        <f>'PT-Example '!G73</f>
        <v>PT</v>
      </c>
      <c r="D71" s="18" t="str">
        <f>'PT-Example '!H73</f>
        <v>PTNR</v>
      </c>
      <c r="E71" s="299"/>
      <c r="F71" s="132"/>
      <c r="G71" s="143"/>
      <c r="H71" s="299">
        <f>ROUND('PT-Example '!L73,2)</f>
        <v>-70033354.790000007</v>
      </c>
    </row>
    <row r="72" spans="1:8" x14ac:dyDescent="0.2">
      <c r="A72" s="18">
        <f>'PT-Example '!E74</f>
        <v>39</v>
      </c>
      <c r="B72" s="18" t="str">
        <f>'PT-Example '!F74</f>
        <v>QCC</v>
      </c>
      <c r="C72" s="18" t="str">
        <f>'PT-Example '!G74</f>
        <v>DV</v>
      </c>
      <c r="D72" s="18" t="str">
        <f>'PT-Example '!H74</f>
        <v>TOI</v>
      </c>
      <c r="E72" s="120"/>
      <c r="F72" s="132"/>
      <c r="G72" s="122"/>
      <c r="H72" s="299">
        <f>ROUND('PT-Example '!L74,2)</f>
        <v>2600001.4500000002</v>
      </c>
    </row>
    <row r="73" spans="1:8" x14ac:dyDescent="0.2">
      <c r="A73" s="18">
        <f>'PT-Example '!E75</f>
        <v>40</v>
      </c>
      <c r="B73" s="18" t="str">
        <f>'PT-Example '!F75</f>
        <v>QCC</v>
      </c>
      <c r="C73" s="18" t="str">
        <f>'PT-Example '!G75</f>
        <v>PT</v>
      </c>
      <c r="D73" s="18" t="str">
        <f>'PT-Example '!H75</f>
        <v>TWIO</v>
      </c>
      <c r="E73" s="299">
        <f>ROUND('PT-Example '!L75,2)</f>
        <v>800314.57</v>
      </c>
      <c r="F73" s="132"/>
      <c r="G73" s="122"/>
      <c r="H73" s="299"/>
    </row>
    <row r="74" spans="1:8" x14ac:dyDescent="0.2">
      <c r="A74" s="18">
        <f>'PT-Example '!E76</f>
        <v>41</v>
      </c>
      <c r="B74" s="18" t="str">
        <f>'PT-Example '!F76</f>
        <v>QCC</v>
      </c>
      <c r="C74" s="18" t="str">
        <f>'PT-Example '!G76</f>
        <v>PT</v>
      </c>
      <c r="D74" s="18" t="str">
        <f>'PT-Example '!H76</f>
        <v>TRV</v>
      </c>
      <c r="E74" s="299">
        <f>ROUND('PT-Example '!L76,2)</f>
        <v>90039.32</v>
      </c>
      <c r="F74" s="132"/>
      <c r="G74" s="122"/>
      <c r="H74" s="299"/>
    </row>
    <row r="75" spans="1:8" x14ac:dyDescent="0.2">
      <c r="A75" s="18">
        <f>'PT-Example '!E77</f>
        <v>42</v>
      </c>
      <c r="B75" s="18" t="str">
        <f>'PT-Example '!F77</f>
        <v>QCC</v>
      </c>
      <c r="C75" s="18" t="str">
        <f>'PT-Example '!G77</f>
        <v>PT</v>
      </c>
      <c r="D75" s="18" t="str">
        <f>'PT-Example '!H77</f>
        <v>PTWIO</v>
      </c>
      <c r="E75" s="299">
        <f>ROUND('PT-Example '!L77,2)</f>
        <v>710275.25</v>
      </c>
      <c r="F75" s="132"/>
      <c r="G75" s="122"/>
      <c r="H75" s="299"/>
    </row>
    <row r="76" spans="1:8" x14ac:dyDescent="0.2">
      <c r="A76" s="18">
        <f>'PT-Example '!E78</f>
        <v>43</v>
      </c>
      <c r="B76" s="18" t="str">
        <f>'PT-Example '!F78</f>
        <v>QCC</v>
      </c>
      <c r="C76" s="18" t="str">
        <f>'PT-Example '!G78</f>
        <v>PT</v>
      </c>
      <c r="D76" s="18" t="str">
        <f>'PT-Example '!H78</f>
        <v>EXCAP</v>
      </c>
      <c r="E76" s="120"/>
      <c r="F76" s="132"/>
      <c r="G76" s="122"/>
      <c r="H76" s="299">
        <f>ROUND('PT-Example '!L78,2)</f>
        <v>-213082.57</v>
      </c>
    </row>
    <row r="77" spans="1:8" x14ac:dyDescent="0.2">
      <c r="A77" s="18">
        <f>'PT-Example '!E79</f>
        <v>44</v>
      </c>
      <c r="B77" s="18" t="str">
        <f>'PT-Example '!F79</f>
        <v>QCC</v>
      </c>
      <c r="C77" s="18" t="str">
        <f>'PT-Example '!G79</f>
        <v>PT</v>
      </c>
      <c r="D77" s="18" t="str">
        <f>'PT-Example '!H79</f>
        <v>QCE</v>
      </c>
      <c r="E77" s="120"/>
      <c r="F77" s="132"/>
      <c r="G77" s="309"/>
      <c r="H77" s="299">
        <f>ROUND('PT-Example '!L79,2)</f>
        <v>2386918.88</v>
      </c>
    </row>
    <row r="78" spans="1:8" x14ac:dyDescent="0.2">
      <c r="A78" s="18">
        <f>'PT-Example '!E80</f>
        <v>45</v>
      </c>
      <c r="B78" s="18" t="str">
        <f>'PT-Example '!F80</f>
        <v>QCC</v>
      </c>
      <c r="C78" s="18" t="str">
        <f>'PT-Example '!G80</f>
        <v>PT</v>
      </c>
      <c r="D78" s="18" t="str">
        <f>'PT-Example '!H80</f>
        <v>QCECR</v>
      </c>
      <c r="E78" s="120"/>
      <c r="F78" s="132"/>
      <c r="G78" s="309">
        <f>'PT-Example '!L80</f>
        <v>0</v>
      </c>
      <c r="H78" s="299"/>
    </row>
    <row r="79" spans="1:8" x14ac:dyDescent="0.2">
      <c r="A79" s="18">
        <f>'PT-Example '!E81</f>
        <v>46</v>
      </c>
      <c r="B79" s="18" t="str">
        <f>'PT-Example '!F81</f>
        <v>QCC</v>
      </c>
      <c r="C79" s="18" t="str">
        <f>'PT-Example '!G81</f>
        <v>PT</v>
      </c>
      <c r="D79" s="18" t="str">
        <f>'PT-Example '!H81</f>
        <v>NPAR</v>
      </c>
      <c r="E79" s="120"/>
      <c r="F79" s="132"/>
      <c r="G79" s="309">
        <f>'PT-Example '!L81</f>
        <v>8.02263E-2</v>
      </c>
      <c r="H79" s="299"/>
    </row>
    <row r="80" spans="1:8" x14ac:dyDescent="0.2">
      <c r="A80" s="18">
        <f>'PT-Example '!E82</f>
        <v>47</v>
      </c>
      <c r="B80" s="18" t="str">
        <f>'PT-Example '!F82</f>
        <v>QCC</v>
      </c>
      <c r="C80" s="18" t="str">
        <f>'PT-Example '!G82</f>
        <v>PT</v>
      </c>
      <c r="D80" s="18" t="str">
        <f>'PT-Example '!H82</f>
        <v>QCEC</v>
      </c>
      <c r="E80" s="120"/>
      <c r="F80" s="132"/>
      <c r="G80" s="122"/>
      <c r="H80" s="299">
        <f>ROUND('PT-Example '!L82,2)</f>
        <v>0</v>
      </c>
    </row>
    <row r="81" spans="1:8" x14ac:dyDescent="0.2">
      <c r="A81" s="18">
        <f>'PT-Example '!E83</f>
        <v>48</v>
      </c>
      <c r="B81" s="18" t="str">
        <f>'PT-Example '!F83</f>
        <v>LCF</v>
      </c>
      <c r="C81" s="18" t="str">
        <f>'PT-Example '!G83</f>
        <v>PT</v>
      </c>
      <c r="D81" s="18" t="str">
        <f>'PT-Example '!H83</f>
        <v>CFCR</v>
      </c>
      <c r="E81" s="299"/>
      <c r="F81" s="132"/>
      <c r="G81" s="309">
        <f>'PT-Example '!L83</f>
        <v>-0.35</v>
      </c>
      <c r="H81" s="299"/>
    </row>
    <row r="82" spans="1:8" x14ac:dyDescent="0.2">
      <c r="A82" s="18">
        <f>'PT-Example '!E84</f>
        <v>49</v>
      </c>
      <c r="B82" s="18" t="str">
        <f>'PT-Example '!F84</f>
        <v>LCF</v>
      </c>
      <c r="C82" s="18" t="str">
        <f>'PT-Example '!G84</f>
        <v>PT</v>
      </c>
      <c r="D82" s="18" t="str">
        <f>'PT-Example '!H84</f>
        <v>PTLB</v>
      </c>
      <c r="E82" s="120"/>
      <c r="F82" s="132"/>
      <c r="G82" s="122"/>
      <c r="H82" s="299">
        <f>ROUND('PT-Example '!L84,2)</f>
        <v>0</v>
      </c>
    </row>
    <row r="83" spans="1:8" x14ac:dyDescent="0.2">
      <c r="A83" s="18">
        <f>'PT-Example '!E85</f>
        <v>50</v>
      </c>
      <c r="B83" s="18" t="str">
        <f>'PT-Example '!F85</f>
        <v>LCF</v>
      </c>
      <c r="C83" s="18" t="str">
        <f>'PT-Example '!G85</f>
        <v>PT</v>
      </c>
      <c r="D83" s="18" t="str">
        <f>'PT-Example '!H85</f>
        <v>PTLBC</v>
      </c>
      <c r="E83" s="120"/>
      <c r="F83" s="132"/>
      <c r="G83" s="122"/>
      <c r="H83" s="299">
        <f>ROUND('PT-Example '!L85,2)</f>
        <v>0</v>
      </c>
    </row>
    <row r="84" spans="1:8" x14ac:dyDescent="0.2">
      <c r="A84" s="18">
        <f>'PT-Example '!E86</f>
        <v>51</v>
      </c>
      <c r="B84" s="18" t="str">
        <f>'PT-Example '!F86</f>
        <v>TBP</v>
      </c>
      <c r="C84" s="18" t="str">
        <f>'PT-Example '!G86</f>
        <v>PT</v>
      </c>
      <c r="D84" s="18" t="str">
        <f>'PT-Example '!H86</f>
        <v>PTNR</v>
      </c>
      <c r="E84" s="120"/>
      <c r="F84" s="132"/>
      <c r="G84" s="122"/>
      <c r="H84" s="299">
        <f>ROUND('PT-Example '!L86,2)</f>
        <v>-70033354.790000007</v>
      </c>
    </row>
    <row r="85" spans="1:8" x14ac:dyDescent="0.2">
      <c r="A85" s="18">
        <f>'PT-Example '!E87</f>
        <v>52</v>
      </c>
      <c r="B85" s="18" t="str">
        <f>'PT-Example '!F87</f>
        <v>TBP</v>
      </c>
      <c r="C85" s="18" t="str">
        <f>'PT-Example '!G87</f>
        <v>PT</v>
      </c>
      <c r="D85" s="18" t="str">
        <f>'PT-Example '!H87</f>
        <v>PTWIO</v>
      </c>
      <c r="E85" s="299">
        <f>ROUND('PT-Example '!L87,2)</f>
        <v>710275.25</v>
      </c>
      <c r="F85" s="132"/>
      <c r="G85" s="122"/>
      <c r="H85" s="299"/>
    </row>
    <row r="86" spans="1:8" x14ac:dyDescent="0.2">
      <c r="A86" s="18">
        <f>'PT-Example '!E88</f>
        <v>53</v>
      </c>
      <c r="B86" s="18" t="str">
        <f>'PT-Example '!F88</f>
        <v>TBP</v>
      </c>
      <c r="C86" s="18" t="str">
        <f>'PT-Example '!G88</f>
        <v>PT</v>
      </c>
      <c r="D86" s="18" t="str">
        <f>'PT-Example '!H88</f>
        <v>THR1</v>
      </c>
      <c r="E86" s="120"/>
      <c r="F86" s="142">
        <f>ROUND('PT-Example '!L88,2)</f>
        <v>30</v>
      </c>
      <c r="G86" s="122"/>
      <c r="H86" s="299"/>
    </row>
    <row r="87" spans="1:8" x14ac:dyDescent="0.2">
      <c r="A87" s="18">
        <f>'PT-Example '!E89</f>
        <v>54</v>
      </c>
      <c r="B87" s="18" t="str">
        <f>'PT-Example '!F89</f>
        <v>TBP</v>
      </c>
      <c r="C87" s="18" t="str">
        <f>'PT-Example '!G89</f>
        <v>PT</v>
      </c>
      <c r="D87" s="18" t="str">
        <f>'PT-Example '!H89</f>
        <v>MUL1</v>
      </c>
      <c r="E87" s="120"/>
      <c r="F87" s="120"/>
      <c r="G87" s="309">
        <f>'PT-Example '!L89</f>
        <v>4.0000000000000001E-3</v>
      </c>
      <c r="H87" s="299"/>
    </row>
    <row r="88" spans="1:8" x14ac:dyDescent="0.2">
      <c r="A88" s="18">
        <f>'PT-Example '!E90</f>
        <v>55</v>
      </c>
      <c r="B88" s="18" t="str">
        <f>'PT-Example '!F90</f>
        <v>TBP</v>
      </c>
      <c r="C88" s="18" t="str">
        <f>'PT-Example '!G90</f>
        <v>PT</v>
      </c>
      <c r="D88" s="18" t="str">
        <f>'PT-Example '!H90</f>
        <v>THR2</v>
      </c>
      <c r="E88" s="120"/>
      <c r="F88" s="142">
        <f>ROUND('PT-Example '!L90,2)</f>
        <v>92.5</v>
      </c>
      <c r="G88" s="122"/>
      <c r="H88" s="299"/>
    </row>
    <row r="89" spans="1:8" x14ac:dyDescent="0.2">
      <c r="A89" s="18">
        <f>'PT-Example '!E91</f>
        <v>56</v>
      </c>
      <c r="B89" s="18" t="str">
        <f>'PT-Example '!F91</f>
        <v>TBP</v>
      </c>
      <c r="C89" s="18" t="str">
        <f>'PT-Example '!G91</f>
        <v>PT</v>
      </c>
      <c r="D89" s="18" t="str">
        <f>'PT-Example '!H91</f>
        <v>MUL2</v>
      </c>
      <c r="E89" s="120"/>
      <c r="F89" s="120"/>
      <c r="G89" s="122">
        <f>'PT-Example '!L91</f>
        <v>1E-3</v>
      </c>
      <c r="H89" s="299"/>
    </row>
    <row r="90" spans="1:8" x14ac:dyDescent="0.2">
      <c r="A90" s="18">
        <f>'PT-Example '!E92</f>
        <v>57</v>
      </c>
      <c r="B90" s="18" t="str">
        <f>'PT-Example '!F92</f>
        <v>TBP</v>
      </c>
      <c r="C90" s="18" t="str">
        <f>'PT-Example '!G92</f>
        <v>PT</v>
      </c>
      <c r="D90" s="18" t="str">
        <f>'PT-Example '!H92</f>
        <v>MPIR</v>
      </c>
      <c r="E90" s="120"/>
      <c r="F90" s="142"/>
      <c r="G90" s="122">
        <f>'PT-Example '!L92</f>
        <v>0.5</v>
      </c>
      <c r="H90" s="299"/>
    </row>
    <row r="91" spans="1:8" x14ac:dyDescent="0.2">
      <c r="A91" s="18">
        <f>'PT-Example '!E93</f>
        <v>58</v>
      </c>
      <c r="B91" s="18" t="str">
        <f>'PT-Example '!F93</f>
        <v>TBP</v>
      </c>
      <c r="C91" s="18" t="str">
        <f>'PT-Example '!G93</f>
        <v>DV</v>
      </c>
      <c r="D91" s="18" t="str">
        <f>'PT-Example '!H93</f>
        <v>BEGB</v>
      </c>
      <c r="E91" s="120"/>
      <c r="F91" s="132"/>
      <c r="G91" s="122"/>
      <c r="H91" s="299">
        <f>ROUND('PT-Example '!L93,2)</f>
        <v>0</v>
      </c>
    </row>
    <row r="92" spans="1:8" x14ac:dyDescent="0.2">
      <c r="A92" s="18">
        <f>'PT-Example '!E94</f>
        <v>59</v>
      </c>
      <c r="B92" s="18" t="str">
        <f>'PT-Example '!F94</f>
        <v>TBP</v>
      </c>
      <c r="C92" s="18" t="str">
        <f>'PT-Example '!G94</f>
        <v>NP</v>
      </c>
      <c r="D92" s="18" t="str">
        <f>'PT-Example '!H94</f>
        <v>NPR</v>
      </c>
      <c r="E92" s="120"/>
      <c r="F92" s="131"/>
      <c r="G92" s="122">
        <f>'PT-Example '!L94</f>
        <v>0.4</v>
      </c>
      <c r="H92" s="299"/>
    </row>
    <row r="93" spans="1:8" x14ac:dyDescent="0.2">
      <c r="A93" s="18">
        <f>'PT-Example '!E95</f>
        <v>60</v>
      </c>
      <c r="B93" s="18" t="str">
        <f>'PT-Example '!F95</f>
        <v>TBP</v>
      </c>
      <c r="C93" s="18" t="str">
        <f>'PT-Example '!G95</f>
        <v>PT</v>
      </c>
      <c r="D93" s="18" t="str">
        <f>'PT-Example '!H95</f>
        <v>BTR</v>
      </c>
      <c r="E93" s="299"/>
      <c r="F93" s="131"/>
      <c r="G93" s="122">
        <f>'PT-Example '!L95</f>
        <v>0.35</v>
      </c>
      <c r="H93" s="299"/>
    </row>
    <row r="94" spans="1:8" x14ac:dyDescent="0.2">
      <c r="A94" s="18">
        <f>'PT-Example '!E96</f>
        <v>61</v>
      </c>
      <c r="B94" s="18" t="str">
        <f>'PT-Example '!F96</f>
        <v>TBP</v>
      </c>
      <c r="C94" s="18" t="str">
        <f>'PT-Example '!G96</f>
        <v>PT</v>
      </c>
      <c r="D94" s="18" t="str">
        <f>'PT-Example '!H96</f>
        <v>POS</v>
      </c>
      <c r="E94" s="299"/>
      <c r="F94" s="142">
        <f>ROUND('PT-Example '!L96,2)</f>
        <v>1</v>
      </c>
      <c r="G94" s="122"/>
      <c r="H94" s="299"/>
    </row>
    <row r="95" spans="1:8" x14ac:dyDescent="0.2">
      <c r="A95" s="18">
        <f>'PT-Example '!E97</f>
        <v>62</v>
      </c>
      <c r="B95" s="18" t="str">
        <f>'PT-Example '!F97</f>
        <v>TBP</v>
      </c>
      <c r="C95" s="18" t="str">
        <f>'PT-Example '!G97</f>
        <v>PT</v>
      </c>
      <c r="D95" s="18" t="str">
        <f>'PT-Example '!H97</f>
        <v>NPDF</v>
      </c>
      <c r="E95" s="120"/>
      <c r="F95" s="131"/>
      <c r="G95" s="122">
        <f>'PT-Example '!L97</f>
        <v>0.69767440000000003</v>
      </c>
      <c r="H95" s="299"/>
    </row>
    <row r="96" spans="1:8" x14ac:dyDescent="0.2">
      <c r="A96" s="18">
        <f>'PT-Example '!E98</f>
        <v>63</v>
      </c>
      <c r="B96" s="18" t="str">
        <f>'PT-Example '!F98</f>
        <v>TBP</v>
      </c>
      <c r="C96" s="18" t="str">
        <f>'PT-Example '!G98</f>
        <v>PT</v>
      </c>
      <c r="D96" s="18" t="str">
        <f>'PT-Example '!H98</f>
        <v>PTNRB</v>
      </c>
      <c r="E96" s="120"/>
      <c r="F96" s="131"/>
      <c r="G96" s="122"/>
      <c r="H96" s="299">
        <f>ROUND('PT-Example '!L98,2)</f>
        <v>68.790000000000006</v>
      </c>
    </row>
    <row r="97" spans="1:8" x14ac:dyDescent="0.2">
      <c r="A97" s="18">
        <f>'PT-Example '!E99</f>
        <v>64</v>
      </c>
      <c r="B97" s="18" t="str">
        <f>'PT-Example '!F99</f>
        <v>TBP</v>
      </c>
      <c r="C97" s="18" t="str">
        <f>'PT-Example '!G99</f>
        <v>PT</v>
      </c>
      <c r="D97" s="18" t="str">
        <f>'PT-Example '!H99</f>
        <v>PTPIR</v>
      </c>
      <c r="E97" s="120"/>
      <c r="F97" s="131"/>
      <c r="G97" s="122">
        <f>'PT-Example '!L99</f>
        <v>0</v>
      </c>
      <c r="H97" s="299"/>
    </row>
    <row r="98" spans="1:8" x14ac:dyDescent="0.2">
      <c r="A98" s="18">
        <f>'PT-Example '!E101</f>
        <v>65</v>
      </c>
      <c r="B98" s="18" t="str">
        <f>'PT-Example '!F101</f>
        <v>TBP</v>
      </c>
      <c r="C98" s="18" t="str">
        <f>'PT-Example '!G101</f>
        <v>PT</v>
      </c>
      <c r="D98" s="18" t="str">
        <f>'PT-Example '!H101</f>
        <v>PTPI</v>
      </c>
      <c r="E98" s="120"/>
      <c r="F98" s="132"/>
      <c r="G98" s="122"/>
      <c r="H98" s="299">
        <f>ROUND('PT-Example '!L100,2)</f>
        <v>0</v>
      </c>
    </row>
    <row r="99" spans="1:8" x14ac:dyDescent="0.2">
      <c r="A99" s="18">
        <f>'PT-Example '!E102</f>
        <v>66</v>
      </c>
      <c r="B99" s="18" t="str">
        <f>'PT-Example '!F102</f>
        <v>PTB</v>
      </c>
      <c r="C99" s="18" t="str">
        <f>'PT-Example '!G102</f>
        <v>PT</v>
      </c>
      <c r="D99" s="18" t="str">
        <f>'PT-Example '!H102</f>
        <v>PTNR</v>
      </c>
      <c r="E99" s="120"/>
      <c r="F99" s="131"/>
      <c r="G99" s="122"/>
      <c r="H99" s="299">
        <f>ROUND('PT-Example '!L102,2)</f>
        <v>-70033354.790000007</v>
      </c>
    </row>
    <row r="100" spans="1:8" x14ac:dyDescent="0.2">
      <c r="A100" s="18">
        <f>'PT-Example '!E103</f>
        <v>67</v>
      </c>
      <c r="B100" s="18" t="str">
        <f>'PT-Example '!F103</f>
        <v>PTB</v>
      </c>
      <c r="C100" s="18" t="str">
        <f>'PT-Example '!G103</f>
        <v>PT</v>
      </c>
      <c r="D100" s="18" t="str">
        <f>'PT-Example '!H103</f>
        <v>PTSE</v>
      </c>
      <c r="E100" s="120"/>
      <c r="F100" s="132"/>
      <c r="G100" s="122"/>
      <c r="H100" s="299">
        <f>ROUND('PT-Example '!L103,2)</f>
        <v>17101167.57</v>
      </c>
    </row>
    <row r="101" spans="1:8" x14ac:dyDescent="0.2">
      <c r="A101" s="18">
        <f>'PT-Example '!E104</f>
        <v>68</v>
      </c>
      <c r="B101" s="18" t="str">
        <f>'PT-Example '!F104</f>
        <v>PTB</v>
      </c>
      <c r="C101" s="18" t="str">
        <f>'PT-Example '!G104</f>
        <v>PT</v>
      </c>
      <c r="D101" s="18" t="str">
        <f>'PT-Example '!H104</f>
        <v>GVPOP</v>
      </c>
      <c r="E101" s="120"/>
      <c r="G101" s="122"/>
      <c r="H101" s="299">
        <f>ROUND('PT-Example '!L104,2)</f>
        <v>-69375994.739999995</v>
      </c>
    </row>
    <row r="102" spans="1:8" x14ac:dyDescent="0.2">
      <c r="A102" s="18">
        <f>'PT-Example '!E105</f>
        <v>69</v>
      </c>
      <c r="B102" s="18" t="str">
        <f>'PT-Example '!F105</f>
        <v>PTB</v>
      </c>
      <c r="C102" s="18" t="str">
        <f>'PT-Example '!G105</f>
        <v>PT</v>
      </c>
      <c r="D102" s="18" t="str">
        <f>'PT-Example '!H105</f>
        <v>GVPOPB</v>
      </c>
      <c r="E102" s="120"/>
      <c r="F102" s="132"/>
      <c r="G102" s="122"/>
      <c r="H102" s="299">
        <f>ROUND('PT-Example '!L105,2)</f>
        <v>86.7</v>
      </c>
    </row>
    <row r="103" spans="1:8" x14ac:dyDescent="0.2">
      <c r="A103" s="18">
        <f>'PT-Example '!E106</f>
        <v>70</v>
      </c>
      <c r="B103" s="18" t="str">
        <f>'PT-Example '!F106</f>
        <v>PTB</v>
      </c>
      <c r="C103" s="18" t="str">
        <f>'PT-Example '!G106</f>
        <v>PT</v>
      </c>
      <c r="D103" s="18" t="str">
        <f>'PT-Example '!H106</f>
        <v>PTGVROPB</v>
      </c>
      <c r="E103" s="120"/>
      <c r="F103" s="142">
        <f>ROUND('PT-Example '!L106,2)</f>
        <v>7</v>
      </c>
      <c r="G103" s="122"/>
      <c r="H103" s="299"/>
    </row>
    <row r="104" spans="1:8" x14ac:dyDescent="0.2">
      <c r="A104" s="18">
        <f>'PT-Example '!E108</f>
        <v>71</v>
      </c>
      <c r="B104" s="18" t="str">
        <f>'PT-Example '!F108</f>
        <v>PTB</v>
      </c>
      <c r="C104" s="18" t="str">
        <f>'PT-Example '!G108</f>
        <v>PT</v>
      </c>
      <c r="D104" s="18" t="str">
        <f>'PT-Example '!H108</f>
        <v>PTWIOT</v>
      </c>
      <c r="E104" s="299">
        <f>ROUND('PT-Example '!L108,2)</f>
        <v>710000.11</v>
      </c>
      <c r="F104" s="132"/>
      <c r="G104" s="122"/>
      <c r="H104" s="299"/>
    </row>
    <row r="105" spans="1:8" x14ac:dyDescent="0.2">
      <c r="A105" s="18">
        <f>'PT-Example '!E109</f>
        <v>72</v>
      </c>
      <c r="B105" s="18" t="str">
        <f>'PT-Example '!F109</f>
        <v>PTB</v>
      </c>
      <c r="C105" s="18" t="str">
        <f>'PT-Example '!G109</f>
        <v>PT</v>
      </c>
      <c r="D105" s="18" t="str">
        <f>'PT-Example '!H109</f>
        <v>PTNO</v>
      </c>
      <c r="E105" s="299">
        <f>ROUND('PT-Example '!L109,2)</f>
        <v>200000</v>
      </c>
      <c r="F105" s="131"/>
      <c r="G105" s="122"/>
      <c r="H105" s="299"/>
    </row>
    <row r="106" spans="1:8" x14ac:dyDescent="0.2">
      <c r="A106" s="18">
        <f>'PT-Example '!E110</f>
        <v>73</v>
      </c>
      <c r="B106" s="18" t="str">
        <f>'PT-Example '!F110</f>
        <v>PTB</v>
      </c>
      <c r="C106" s="18" t="str">
        <f>'PT-Example '!G110</f>
        <v>PT</v>
      </c>
      <c r="D106" s="18" t="str">
        <f>'PT-Example '!H110</f>
        <v>PTNGVROC</v>
      </c>
      <c r="E106" s="120"/>
      <c r="F106" s="132"/>
      <c r="G106" s="122"/>
      <c r="H106" s="299">
        <f>ROUND('PT-Example '!L110,2)</f>
        <v>-3570000.75</v>
      </c>
    </row>
    <row r="107" spans="1:8" x14ac:dyDescent="0.2">
      <c r="A107" s="18">
        <f>'PT-Example '!E111</f>
        <v>74</v>
      </c>
      <c r="B107" s="18" t="str">
        <f>'PT-Example '!F111</f>
        <v>PTB</v>
      </c>
      <c r="C107" s="18" t="str">
        <f>'PT-Example '!G111</f>
        <v>PT</v>
      </c>
      <c r="D107" s="18" t="str">
        <f>'PT-Example '!H111</f>
        <v>PTGVROC</v>
      </c>
      <c r="E107" s="120"/>
      <c r="F107" s="132"/>
      <c r="G107" s="122"/>
      <c r="H107" s="299">
        <f>ROUND('PT-Example '!L111,2)</f>
        <v>-1000000</v>
      </c>
    </row>
    <row r="108" spans="1:8" x14ac:dyDescent="0.2">
      <c r="A108" s="18">
        <f>'PT-Example '!E112</f>
        <v>75</v>
      </c>
      <c r="B108" s="18" t="str">
        <f>'PT-Example '!F112</f>
        <v>PTB</v>
      </c>
      <c r="C108" s="18" t="str">
        <f>'PT-Example '!G112</f>
        <v>PT</v>
      </c>
      <c r="D108" s="18" t="str">
        <f>'PT-Example '!H112</f>
        <v>ANS</v>
      </c>
      <c r="E108" s="120"/>
      <c r="F108" s="142">
        <f>ROUND('PT-Example '!L112,2)</f>
        <v>107.3</v>
      </c>
      <c r="G108" s="145"/>
      <c r="H108" s="299"/>
    </row>
    <row r="109" spans="1:8" x14ac:dyDescent="0.2">
      <c r="A109" s="18">
        <f>'PT-Example '!E113</f>
        <v>76</v>
      </c>
      <c r="B109" s="18" t="str">
        <f>'PT-Example '!F113</f>
        <v>PTB</v>
      </c>
      <c r="C109" s="18" t="str">
        <f>'PT-Example '!G113</f>
        <v>PT</v>
      </c>
      <c r="D109" s="18" t="str">
        <f>'PT-Example '!H113</f>
        <v>PTMTR</v>
      </c>
      <c r="E109" s="120"/>
      <c r="F109" s="131"/>
      <c r="G109" s="122">
        <f>'PT-Example '!L113</f>
        <v>0.04</v>
      </c>
      <c r="H109" s="299"/>
    </row>
    <row r="110" spans="1:8" x14ac:dyDescent="0.2">
      <c r="A110" s="18">
        <f>'PT-Example '!E115</f>
        <v>77</v>
      </c>
      <c r="B110" s="18" t="str">
        <f>'PT-Example '!F115</f>
        <v>PTB</v>
      </c>
      <c r="C110" s="18" t="str">
        <f>'PT-Example '!G115</f>
        <v>PT</v>
      </c>
      <c r="D110" s="18" t="str">
        <f>'PT-Example '!H115</f>
        <v>PTMT</v>
      </c>
      <c r="E110" s="120"/>
      <c r="G110" s="122"/>
      <c r="H110" s="299">
        <f>ROUND('PT-Example '!L115,2)</f>
        <v>2775039.79</v>
      </c>
    </row>
    <row r="111" spans="1:8" x14ac:dyDescent="0.2">
      <c r="A111" s="18">
        <f>'PT-Example '!E116</f>
        <v>78</v>
      </c>
      <c r="B111" s="18" t="str">
        <f>'PT-Example '!F116</f>
        <v>PTB</v>
      </c>
      <c r="C111" s="18" t="str">
        <f>'PT-Example '!G116</f>
        <v>PT</v>
      </c>
      <c r="D111" s="18" t="str">
        <f>'PT-Example '!H116</f>
        <v>PTBC</v>
      </c>
      <c r="E111" s="299"/>
      <c r="F111" s="145"/>
      <c r="G111" s="122"/>
      <c r="H111" s="299">
        <f>ROUND('PT-Example '!L116,2)</f>
        <v>17101167.57</v>
      </c>
    </row>
    <row r="112" spans="1:8" x14ac:dyDescent="0.2">
      <c r="A112" s="18">
        <f>'PT-Example '!E117</f>
        <v>79</v>
      </c>
      <c r="B112" s="18" t="str">
        <f>'PT-Example '!F117</f>
        <v>SPC</v>
      </c>
      <c r="C112" s="18" t="str">
        <f>'PT-Example '!G117</f>
        <v>PT</v>
      </c>
      <c r="D112" s="18" t="str">
        <f>'PT-Example '!H117</f>
        <v>DOM</v>
      </c>
      <c r="E112" s="145"/>
      <c r="F112" s="142">
        <f>ROUND('PT-Example '!L117,2)</f>
        <v>31</v>
      </c>
      <c r="G112" s="122"/>
      <c r="H112" s="299"/>
    </row>
    <row r="113" spans="1:8" x14ac:dyDescent="0.2">
      <c r="A113" s="18">
        <f>'PT-Example '!E118</f>
        <v>80</v>
      </c>
      <c r="B113" s="18" t="str">
        <f>'PT-Example '!F118</f>
        <v>SPC</v>
      </c>
      <c r="C113" s="18" t="str">
        <f>'PT-Example '!G118</f>
        <v>PT</v>
      </c>
      <c r="D113" s="18" t="str">
        <f>'PT-Example '!H118</f>
        <v>SWTPD</v>
      </c>
      <c r="E113" s="299">
        <f>ROUND('PT-Example '!L118,2)</f>
        <v>90000.25</v>
      </c>
      <c r="F113" s="132"/>
      <c r="G113" s="122"/>
      <c r="H113" s="299"/>
    </row>
    <row r="114" spans="1:8" x14ac:dyDescent="0.2">
      <c r="A114" s="18">
        <f>'PT-Example '!E119</f>
        <v>81</v>
      </c>
      <c r="B114" s="18" t="str">
        <f>'PT-Example '!F119</f>
        <v>SPC</v>
      </c>
      <c r="C114" s="18" t="str">
        <f>'PT-Example '!G119</f>
        <v>PT</v>
      </c>
      <c r="D114" s="18" t="str">
        <f>'PT-Example '!H119</f>
        <v>PTTSPC</v>
      </c>
      <c r="E114" s="145"/>
      <c r="F114" s="131"/>
      <c r="G114" s="122"/>
      <c r="H114" s="299">
        <f>ROUND('PT-Example '!L119,2)</f>
        <v>-199995</v>
      </c>
    </row>
    <row r="115" spans="1:8" x14ac:dyDescent="0.2">
      <c r="A115" s="18">
        <f>'PT-Example '!E120</f>
        <v>82</v>
      </c>
      <c r="B115" s="18" t="str">
        <f>'PT-Example '!F120</f>
        <v>SPC</v>
      </c>
      <c r="C115" s="18" t="str">
        <f>'PT-Example '!G120</f>
        <v>PT</v>
      </c>
      <c r="D115" s="18" t="str">
        <f>'PT-Example '!H120</f>
        <v>PWIOD</v>
      </c>
      <c r="E115" s="299">
        <f>ROUND('PT-Example '!L120,2)</f>
        <v>22912.1</v>
      </c>
      <c r="F115" s="131"/>
      <c r="G115" s="122"/>
      <c r="H115" s="299"/>
    </row>
    <row r="116" spans="1:8" x14ac:dyDescent="0.2">
      <c r="A116" s="18">
        <f>'PT-Example '!E121</f>
        <v>83</v>
      </c>
      <c r="B116" s="18" t="str">
        <f>'PT-Example '!F121</f>
        <v>SPC</v>
      </c>
      <c r="C116" s="18" t="str">
        <f>'PT-Example '!G121</f>
        <v>PT</v>
      </c>
      <c r="D116" s="18" t="str">
        <f>'PT-Example '!H121</f>
        <v>PTSPC</v>
      </c>
      <c r="E116" s="120"/>
      <c r="F116" s="131"/>
      <c r="G116" s="122"/>
      <c r="H116" s="299">
        <f>ROUND('PT-Example '!L121,2)</f>
        <v>-50914.36</v>
      </c>
    </row>
    <row r="117" spans="1:8" x14ac:dyDescent="0.2">
      <c r="A117" s="18">
        <f>'PT-Example '!E122</f>
        <v>84</v>
      </c>
      <c r="B117" s="18" t="str">
        <f>'PT-Example '!F122</f>
        <v>PTL</v>
      </c>
      <c r="C117" s="18" t="str">
        <f>'PT-Example '!G122</f>
        <v>PT</v>
      </c>
      <c r="D117" s="18" t="str">
        <f>'PT-Example '!H122</f>
        <v>PTLA</v>
      </c>
      <c r="E117" s="120"/>
      <c r="F117" s="131"/>
      <c r="G117" s="122"/>
      <c r="H117" s="299">
        <f>ROUND('PT-Example '!L122,2)</f>
        <v>12480252.460000001</v>
      </c>
    </row>
    <row r="118" spans="1:8" x14ac:dyDescent="0.2">
      <c r="A118" s="18">
        <f>'PT-Example '!E123</f>
        <v>85</v>
      </c>
      <c r="B118" s="18" t="str">
        <f>'PT-Example '!F123</f>
        <v>LCC</v>
      </c>
      <c r="C118" s="18" t="str">
        <f>'PT-Example '!G123</f>
        <v>PT</v>
      </c>
      <c r="D118" s="18" t="str">
        <f>'PT-Example '!H123</f>
        <v xml:space="preserve">PTLR </v>
      </c>
      <c r="E118" s="120"/>
      <c r="F118" s="131"/>
      <c r="G118" s="122"/>
      <c r="H118" s="299">
        <f>ROUND('PT-Example '!L123,2)</f>
        <v>0</v>
      </c>
    </row>
    <row r="119" spans="1:8" x14ac:dyDescent="0.2">
      <c r="A119" s="18">
        <f>'PT-Example '!E124</f>
        <v>86</v>
      </c>
      <c r="B119" s="18" t="str">
        <f>'PT-Example '!F124</f>
        <v>LCC</v>
      </c>
      <c r="C119" s="18" t="str">
        <f>'PT-Example '!G124</f>
        <v>PT</v>
      </c>
      <c r="D119" s="18" t="str">
        <f>'PT-Example '!H124</f>
        <v>PTLRC</v>
      </c>
      <c r="E119" s="120"/>
      <c r="F119" s="131"/>
      <c r="G119" s="122"/>
      <c r="H119" s="299">
        <f>ROUND('PT-Example '!L124,2)</f>
        <v>0</v>
      </c>
    </row>
    <row r="120" spans="1:8" x14ac:dyDescent="0.2">
      <c r="A120" s="18">
        <f>'PT-Example '!E125</f>
        <v>87</v>
      </c>
      <c r="B120" s="18" t="str">
        <f>'PT-Example '!F125</f>
        <v>PPC</v>
      </c>
      <c r="C120" s="18" t="str">
        <f>'PT-Example '!G125</f>
        <v>PT</v>
      </c>
      <c r="D120" s="18" t="str">
        <f>'PT-Example '!H125</f>
        <v>PTDC</v>
      </c>
      <c r="E120" s="120"/>
      <c r="F120" s="131"/>
      <c r="G120" s="122"/>
      <c r="H120" s="299">
        <f>ROUND('PT-Example '!L125,2)</f>
        <v>0</v>
      </c>
    </row>
    <row r="121" spans="1:8" x14ac:dyDescent="0.2">
      <c r="H121"/>
    </row>
    <row r="122" spans="1:8" x14ac:dyDescent="0.2">
      <c r="H122"/>
    </row>
    <row r="123" spans="1:8" x14ac:dyDescent="0.2">
      <c r="H123"/>
    </row>
    <row r="124" spans="1:8" x14ac:dyDescent="0.2">
      <c r="H124"/>
    </row>
    <row r="125" spans="1:8" x14ac:dyDescent="0.2">
      <c r="H125"/>
    </row>
    <row r="126" spans="1:8" x14ac:dyDescent="0.2">
      <c r="H126"/>
    </row>
    <row r="127" spans="1:8" x14ac:dyDescent="0.2">
      <c r="H127"/>
    </row>
    <row r="128" spans="1:8" x14ac:dyDescent="0.2">
      <c r="H128"/>
    </row>
    <row r="129" spans="8:8" x14ac:dyDescent="0.2">
      <c r="H129"/>
    </row>
    <row r="130" spans="8:8" x14ac:dyDescent="0.2">
      <c r="H130"/>
    </row>
    <row r="131" spans="8:8" x14ac:dyDescent="0.2">
      <c r="H131"/>
    </row>
    <row r="132" spans="8:8" x14ac:dyDescent="0.2">
      <c r="H132"/>
    </row>
    <row r="133" spans="8:8" x14ac:dyDescent="0.2">
      <c r="H133"/>
    </row>
    <row r="134" spans="8:8" x14ac:dyDescent="0.2">
      <c r="H134"/>
    </row>
    <row r="135" spans="8:8" x14ac:dyDescent="0.2">
      <c r="H135"/>
    </row>
    <row r="136" spans="8:8" x14ac:dyDescent="0.2">
      <c r="H136"/>
    </row>
    <row r="137" spans="8:8" x14ac:dyDescent="0.2">
      <c r="H137"/>
    </row>
    <row r="138" spans="8:8" x14ac:dyDescent="0.2">
      <c r="H138"/>
    </row>
    <row r="139" spans="8:8" x14ac:dyDescent="0.2">
      <c r="H139"/>
    </row>
    <row r="140" spans="8:8" x14ac:dyDescent="0.2">
      <c r="H140"/>
    </row>
    <row r="141" spans="8:8" x14ac:dyDescent="0.2">
      <c r="H141"/>
    </row>
    <row r="142" spans="8:8" x14ac:dyDescent="0.2">
      <c r="H142"/>
    </row>
    <row r="143" spans="8:8" x14ac:dyDescent="0.2">
      <c r="H143"/>
    </row>
    <row r="144" spans="8:8" x14ac:dyDescent="0.2">
      <c r="H144"/>
    </row>
    <row r="145" spans="8:8" x14ac:dyDescent="0.2">
      <c r="H145"/>
    </row>
    <row r="146" spans="8:8" x14ac:dyDescent="0.2">
      <c r="H146"/>
    </row>
    <row r="147" spans="8:8" x14ac:dyDescent="0.2">
      <c r="H147"/>
    </row>
    <row r="148" spans="8:8" x14ac:dyDescent="0.2">
      <c r="H148"/>
    </row>
    <row r="149" spans="8:8" x14ac:dyDescent="0.2">
      <c r="H149"/>
    </row>
    <row r="150" spans="8:8" x14ac:dyDescent="0.2">
      <c r="H150"/>
    </row>
    <row r="151" spans="8:8" x14ac:dyDescent="0.2">
      <c r="H151"/>
    </row>
    <row r="152" spans="8:8" x14ac:dyDescent="0.2">
      <c r="H152"/>
    </row>
    <row r="153" spans="8:8" x14ac:dyDescent="0.2">
      <c r="H153"/>
    </row>
    <row r="154" spans="8:8" x14ac:dyDescent="0.2">
      <c r="H154"/>
    </row>
    <row r="155" spans="8:8" x14ac:dyDescent="0.2">
      <c r="H155"/>
    </row>
    <row r="156" spans="8:8" x14ac:dyDescent="0.2">
      <c r="H156"/>
    </row>
    <row r="157" spans="8:8" x14ac:dyDescent="0.2">
      <c r="H157"/>
    </row>
    <row r="158" spans="8:8" x14ac:dyDescent="0.2">
      <c r="H158"/>
    </row>
    <row r="159" spans="8:8" x14ac:dyDescent="0.2">
      <c r="H159"/>
    </row>
    <row r="160" spans="8:8" x14ac:dyDescent="0.2">
      <c r="H160"/>
    </row>
    <row r="161" spans="8:8" x14ac:dyDescent="0.2">
      <c r="H161"/>
    </row>
    <row r="162" spans="8:8" x14ac:dyDescent="0.2">
      <c r="H162"/>
    </row>
    <row r="163" spans="8:8" x14ac:dyDescent="0.2">
      <c r="H163"/>
    </row>
    <row r="164" spans="8:8" x14ac:dyDescent="0.2">
      <c r="H164"/>
    </row>
    <row r="165" spans="8:8" x14ac:dyDescent="0.2">
      <c r="H165"/>
    </row>
    <row r="166" spans="8:8" x14ac:dyDescent="0.2">
      <c r="H166"/>
    </row>
    <row r="167" spans="8:8" x14ac:dyDescent="0.2">
      <c r="H167"/>
    </row>
    <row r="168" spans="8:8" x14ac:dyDescent="0.2">
      <c r="H168"/>
    </row>
    <row r="169" spans="8:8" x14ac:dyDescent="0.2">
      <c r="H169"/>
    </row>
    <row r="170" spans="8:8" x14ac:dyDescent="0.2">
      <c r="H170"/>
    </row>
    <row r="171" spans="8:8" x14ac:dyDescent="0.2">
      <c r="H171"/>
    </row>
    <row r="172" spans="8:8" x14ac:dyDescent="0.2">
      <c r="H172"/>
    </row>
    <row r="173" spans="8:8" x14ac:dyDescent="0.2">
      <c r="H173"/>
    </row>
    <row r="174" spans="8:8" x14ac:dyDescent="0.2">
      <c r="H174"/>
    </row>
    <row r="175" spans="8:8" x14ac:dyDescent="0.2">
      <c r="H175"/>
    </row>
    <row r="176" spans="8:8" x14ac:dyDescent="0.2">
      <c r="H176"/>
    </row>
    <row r="177" spans="8:8" x14ac:dyDescent="0.2">
      <c r="H177"/>
    </row>
    <row r="178" spans="8:8" x14ac:dyDescent="0.2">
      <c r="H178"/>
    </row>
    <row r="179" spans="8:8" x14ac:dyDescent="0.2">
      <c r="H179"/>
    </row>
    <row r="180" spans="8:8" x14ac:dyDescent="0.2">
      <c r="H180"/>
    </row>
    <row r="181" spans="8:8" x14ac:dyDescent="0.2">
      <c r="H181"/>
    </row>
    <row r="182" spans="8:8" x14ac:dyDescent="0.2">
      <c r="H182"/>
    </row>
    <row r="183" spans="8:8" x14ac:dyDescent="0.2">
      <c r="H183"/>
    </row>
    <row r="184" spans="8:8" x14ac:dyDescent="0.2">
      <c r="H184"/>
    </row>
    <row r="185" spans="8:8" x14ac:dyDescent="0.2">
      <c r="H185"/>
    </row>
    <row r="186" spans="8:8" x14ac:dyDescent="0.2">
      <c r="H186"/>
    </row>
    <row r="187" spans="8:8" x14ac:dyDescent="0.2">
      <c r="H187"/>
    </row>
    <row r="188" spans="8:8" x14ac:dyDescent="0.2">
      <c r="H188"/>
    </row>
    <row r="189" spans="8:8" x14ac:dyDescent="0.2">
      <c r="H189"/>
    </row>
    <row r="190" spans="8:8" x14ac:dyDescent="0.2">
      <c r="H190"/>
    </row>
    <row r="191" spans="8:8" x14ac:dyDescent="0.2">
      <c r="H191"/>
    </row>
    <row r="192" spans="8:8" x14ac:dyDescent="0.2">
      <c r="H192"/>
    </row>
    <row r="193" spans="8:8" x14ac:dyDescent="0.2">
      <c r="H193"/>
    </row>
    <row r="194" spans="8:8" x14ac:dyDescent="0.2">
      <c r="H194"/>
    </row>
    <row r="195" spans="8:8" x14ac:dyDescent="0.2">
      <c r="H195"/>
    </row>
    <row r="196" spans="8:8" x14ac:dyDescent="0.2">
      <c r="H196"/>
    </row>
    <row r="197" spans="8:8" x14ac:dyDescent="0.2">
      <c r="H197"/>
    </row>
    <row r="198" spans="8:8" x14ac:dyDescent="0.2">
      <c r="H198"/>
    </row>
    <row r="199" spans="8:8" x14ac:dyDescent="0.2">
      <c r="H199"/>
    </row>
    <row r="200" spans="8:8" x14ac:dyDescent="0.2">
      <c r="H200"/>
    </row>
    <row r="201" spans="8:8" x14ac:dyDescent="0.2">
      <c r="H201"/>
    </row>
    <row r="202" spans="8:8" x14ac:dyDescent="0.2">
      <c r="H202"/>
    </row>
    <row r="203" spans="8:8" x14ac:dyDescent="0.2">
      <c r="H203"/>
    </row>
    <row r="204" spans="8:8" x14ac:dyDescent="0.2">
      <c r="H204"/>
    </row>
    <row r="205" spans="8:8" x14ac:dyDescent="0.2">
      <c r="H205"/>
    </row>
    <row r="206" spans="8:8" x14ac:dyDescent="0.2">
      <c r="H206"/>
    </row>
    <row r="207" spans="8:8" x14ac:dyDescent="0.2">
      <c r="H207"/>
    </row>
    <row r="208" spans="8:8" x14ac:dyDescent="0.2">
      <c r="H208"/>
    </row>
    <row r="209" spans="8:8" x14ac:dyDescent="0.2">
      <c r="H209"/>
    </row>
    <row r="210" spans="8:8" x14ac:dyDescent="0.2">
      <c r="H210"/>
    </row>
    <row r="211" spans="8:8" x14ac:dyDescent="0.2">
      <c r="H211"/>
    </row>
    <row r="212" spans="8:8" x14ac:dyDescent="0.2">
      <c r="H212"/>
    </row>
    <row r="213" spans="8:8" x14ac:dyDescent="0.2">
      <c r="H213"/>
    </row>
    <row r="214" spans="8:8" x14ac:dyDescent="0.2">
      <c r="H214"/>
    </row>
    <row r="215" spans="8:8" x14ac:dyDescent="0.2">
      <c r="H215"/>
    </row>
    <row r="216" spans="8:8" x14ac:dyDescent="0.2">
      <c r="H216"/>
    </row>
    <row r="217" spans="8:8" x14ac:dyDescent="0.2">
      <c r="H217"/>
    </row>
    <row r="218" spans="8:8" x14ac:dyDescent="0.2">
      <c r="H218"/>
    </row>
    <row r="219" spans="8:8" x14ac:dyDescent="0.2">
      <c r="H219"/>
    </row>
    <row r="220" spans="8:8" x14ac:dyDescent="0.2">
      <c r="H220"/>
    </row>
    <row r="221" spans="8:8" x14ac:dyDescent="0.2">
      <c r="H221"/>
    </row>
    <row r="222" spans="8:8" x14ac:dyDescent="0.2">
      <c r="H222"/>
    </row>
    <row r="223" spans="8:8" x14ac:dyDescent="0.2">
      <c r="H223"/>
    </row>
    <row r="224" spans="8:8" x14ac:dyDescent="0.2">
      <c r="H224"/>
    </row>
    <row r="225" spans="8:8" x14ac:dyDescent="0.2">
      <c r="H225"/>
    </row>
    <row r="226" spans="8:8" x14ac:dyDescent="0.2">
      <c r="H226"/>
    </row>
    <row r="227" spans="8:8" x14ac:dyDescent="0.2">
      <c r="H227"/>
    </row>
    <row r="228" spans="8:8" x14ac:dyDescent="0.2">
      <c r="H228"/>
    </row>
    <row r="229" spans="8:8" x14ac:dyDescent="0.2">
      <c r="H229"/>
    </row>
    <row r="230" spans="8:8" x14ac:dyDescent="0.2">
      <c r="H230"/>
    </row>
    <row r="231" spans="8:8" x14ac:dyDescent="0.2">
      <c r="H231"/>
    </row>
    <row r="232" spans="8:8" x14ac:dyDescent="0.2">
      <c r="H232"/>
    </row>
    <row r="233" spans="8:8" x14ac:dyDescent="0.2">
      <c r="H233"/>
    </row>
    <row r="234" spans="8:8" x14ac:dyDescent="0.2">
      <c r="H234"/>
    </row>
    <row r="235" spans="8:8" x14ac:dyDescent="0.2">
      <c r="H235"/>
    </row>
    <row r="236" spans="8:8" x14ac:dyDescent="0.2">
      <c r="H236"/>
    </row>
    <row r="237" spans="8:8" x14ac:dyDescent="0.2">
      <c r="H237"/>
    </row>
    <row r="238" spans="8:8" x14ac:dyDescent="0.2">
      <c r="H238"/>
    </row>
    <row r="239" spans="8:8" x14ac:dyDescent="0.2">
      <c r="H239"/>
    </row>
    <row r="240" spans="8:8" x14ac:dyDescent="0.2">
      <c r="H240"/>
    </row>
    <row r="241" spans="8:8" x14ac:dyDescent="0.2">
      <c r="H241"/>
    </row>
    <row r="242" spans="8:8" x14ac:dyDescent="0.2">
      <c r="H242"/>
    </row>
    <row r="243" spans="8:8" x14ac:dyDescent="0.2">
      <c r="H243"/>
    </row>
    <row r="244" spans="8:8" x14ac:dyDescent="0.2">
      <c r="H244"/>
    </row>
    <row r="245" spans="8:8" x14ac:dyDescent="0.2">
      <c r="H245"/>
    </row>
    <row r="246" spans="8:8" x14ac:dyDescent="0.2">
      <c r="H246"/>
    </row>
    <row r="247" spans="8:8" x14ac:dyDescent="0.2">
      <c r="H247"/>
    </row>
    <row r="248" spans="8:8" x14ac:dyDescent="0.2">
      <c r="H248"/>
    </row>
    <row r="249" spans="8:8" x14ac:dyDescent="0.2">
      <c r="H249"/>
    </row>
    <row r="250" spans="8:8" x14ac:dyDescent="0.2">
      <c r="H250"/>
    </row>
    <row r="251" spans="8:8" x14ac:dyDescent="0.2">
      <c r="H251"/>
    </row>
    <row r="252" spans="8:8" x14ac:dyDescent="0.2">
      <c r="H252"/>
    </row>
    <row r="253" spans="8:8" x14ac:dyDescent="0.2">
      <c r="H253"/>
    </row>
    <row r="254" spans="8:8" x14ac:dyDescent="0.2">
      <c r="H254"/>
    </row>
    <row r="255" spans="8:8" x14ac:dyDescent="0.2">
      <c r="H255"/>
    </row>
    <row r="256" spans="8:8" x14ac:dyDescent="0.2">
      <c r="H256"/>
    </row>
    <row r="257" spans="8:8" x14ac:dyDescent="0.2">
      <c r="H257"/>
    </row>
    <row r="258" spans="8:8" x14ac:dyDescent="0.2">
      <c r="H258"/>
    </row>
    <row r="259" spans="8:8" x14ac:dyDescent="0.2">
      <c r="H259"/>
    </row>
    <row r="260" spans="8:8" x14ac:dyDescent="0.2">
      <c r="H260"/>
    </row>
    <row r="261" spans="8:8" x14ac:dyDescent="0.2">
      <c r="H261"/>
    </row>
    <row r="262" spans="8:8" x14ac:dyDescent="0.2">
      <c r="H262"/>
    </row>
    <row r="263" spans="8:8" x14ac:dyDescent="0.2">
      <c r="H263"/>
    </row>
    <row r="264" spans="8:8" x14ac:dyDescent="0.2">
      <c r="H264"/>
    </row>
    <row r="265" spans="8:8" x14ac:dyDescent="0.2">
      <c r="H265"/>
    </row>
    <row r="266" spans="8:8" x14ac:dyDescent="0.2">
      <c r="H266"/>
    </row>
    <row r="267" spans="8:8" x14ac:dyDescent="0.2">
      <c r="H267"/>
    </row>
    <row r="268" spans="8:8" x14ac:dyDescent="0.2">
      <c r="H268"/>
    </row>
    <row r="269" spans="8:8" x14ac:dyDescent="0.2">
      <c r="H269"/>
    </row>
    <row r="270" spans="8:8" x14ac:dyDescent="0.2">
      <c r="H270"/>
    </row>
    <row r="271" spans="8:8" x14ac:dyDescent="0.2">
      <c r="H271"/>
    </row>
    <row r="272" spans="8:8" x14ac:dyDescent="0.2">
      <c r="H272"/>
    </row>
    <row r="273" spans="8:8" x14ac:dyDescent="0.2">
      <c r="H273"/>
    </row>
    <row r="274" spans="8:8" x14ac:dyDescent="0.2">
      <c r="H274"/>
    </row>
    <row r="275" spans="8:8" x14ac:dyDescent="0.2">
      <c r="H275"/>
    </row>
    <row r="276" spans="8:8" x14ac:dyDescent="0.2">
      <c r="H276"/>
    </row>
    <row r="277" spans="8:8" x14ac:dyDescent="0.2">
      <c r="H277"/>
    </row>
    <row r="278" spans="8:8" x14ac:dyDescent="0.2">
      <c r="H278"/>
    </row>
    <row r="279" spans="8:8" x14ac:dyDescent="0.2">
      <c r="H279"/>
    </row>
    <row r="280" spans="8:8" x14ac:dyDescent="0.2">
      <c r="H280"/>
    </row>
    <row r="281" spans="8:8" x14ac:dyDescent="0.2">
      <c r="H281"/>
    </row>
    <row r="282" spans="8:8" x14ac:dyDescent="0.2">
      <c r="H282"/>
    </row>
    <row r="283" spans="8:8" x14ac:dyDescent="0.2">
      <c r="H283"/>
    </row>
    <row r="284" spans="8:8" x14ac:dyDescent="0.2">
      <c r="H284"/>
    </row>
    <row r="285" spans="8:8" x14ac:dyDescent="0.2">
      <c r="H285"/>
    </row>
    <row r="286" spans="8:8" x14ac:dyDescent="0.2">
      <c r="H286"/>
    </row>
    <row r="287" spans="8:8" x14ac:dyDescent="0.2">
      <c r="H287"/>
    </row>
    <row r="288" spans="8:8" x14ac:dyDescent="0.2">
      <c r="H288"/>
    </row>
    <row r="289" spans="8:8" x14ac:dyDescent="0.2">
      <c r="H289"/>
    </row>
    <row r="290" spans="8:8" x14ac:dyDescent="0.2">
      <c r="H290"/>
    </row>
    <row r="291" spans="8:8" x14ac:dyDescent="0.2">
      <c r="H291"/>
    </row>
    <row r="292" spans="8:8" x14ac:dyDescent="0.2">
      <c r="H292"/>
    </row>
    <row r="293" spans="8:8" x14ac:dyDescent="0.2">
      <c r="H293"/>
    </row>
    <row r="294" spans="8:8" x14ac:dyDescent="0.2">
      <c r="H294"/>
    </row>
    <row r="295" spans="8:8" x14ac:dyDescent="0.2">
      <c r="H295"/>
    </row>
    <row r="296" spans="8:8" x14ac:dyDescent="0.2">
      <c r="H296"/>
    </row>
    <row r="297" spans="8:8" x14ac:dyDescent="0.2">
      <c r="H297"/>
    </row>
    <row r="298" spans="8:8" x14ac:dyDescent="0.2">
      <c r="H298"/>
    </row>
    <row r="299" spans="8:8" x14ac:dyDescent="0.2">
      <c r="H299"/>
    </row>
    <row r="300" spans="8:8" x14ac:dyDescent="0.2">
      <c r="H300"/>
    </row>
    <row r="301" spans="8:8" x14ac:dyDescent="0.2">
      <c r="H301"/>
    </row>
    <row r="302" spans="8:8" x14ac:dyDescent="0.2">
      <c r="H302"/>
    </row>
    <row r="303" spans="8:8" x14ac:dyDescent="0.2">
      <c r="H303"/>
    </row>
    <row r="304" spans="8:8" x14ac:dyDescent="0.2">
      <c r="H304"/>
    </row>
    <row r="305" spans="8:8" x14ac:dyDescent="0.2">
      <c r="H305"/>
    </row>
    <row r="306" spans="8:8" x14ac:dyDescent="0.2">
      <c r="H306"/>
    </row>
    <row r="307" spans="8:8" x14ac:dyDescent="0.2">
      <c r="H307"/>
    </row>
    <row r="308" spans="8:8" x14ac:dyDescent="0.2">
      <c r="H308"/>
    </row>
    <row r="309" spans="8:8" x14ac:dyDescent="0.2">
      <c r="H309"/>
    </row>
    <row r="310" spans="8:8" x14ac:dyDescent="0.2">
      <c r="H310"/>
    </row>
    <row r="311" spans="8:8" x14ac:dyDescent="0.2">
      <c r="H311"/>
    </row>
    <row r="312" spans="8:8" x14ac:dyDescent="0.2">
      <c r="H312"/>
    </row>
    <row r="313" spans="8:8" x14ac:dyDescent="0.2">
      <c r="H313"/>
    </row>
    <row r="314" spans="8:8" x14ac:dyDescent="0.2">
      <c r="H314"/>
    </row>
    <row r="315" spans="8:8" x14ac:dyDescent="0.2">
      <c r="H315"/>
    </row>
    <row r="316" spans="8:8" x14ac:dyDescent="0.2">
      <c r="H316"/>
    </row>
    <row r="317" spans="8:8" x14ac:dyDescent="0.2">
      <c r="H317"/>
    </row>
    <row r="318" spans="8:8" x14ac:dyDescent="0.2">
      <c r="H318"/>
    </row>
    <row r="319" spans="8:8" x14ac:dyDescent="0.2">
      <c r="H319"/>
    </row>
    <row r="320" spans="8:8" x14ac:dyDescent="0.2">
      <c r="H320"/>
    </row>
    <row r="321" spans="8:8" x14ac:dyDescent="0.2">
      <c r="H321"/>
    </row>
    <row r="322" spans="8:8" x14ac:dyDescent="0.2">
      <c r="H322"/>
    </row>
    <row r="323" spans="8:8" x14ac:dyDescent="0.2">
      <c r="H323"/>
    </row>
    <row r="324" spans="8:8" x14ac:dyDescent="0.2">
      <c r="H324"/>
    </row>
    <row r="325" spans="8:8" x14ac:dyDescent="0.2">
      <c r="H325"/>
    </row>
    <row r="326" spans="8:8" x14ac:dyDescent="0.2">
      <c r="H326"/>
    </row>
    <row r="327" spans="8:8" x14ac:dyDescent="0.2">
      <c r="H327"/>
    </row>
    <row r="328" spans="8:8" x14ac:dyDescent="0.2">
      <c r="H328"/>
    </row>
    <row r="329" spans="8:8" x14ac:dyDescent="0.2">
      <c r="H329"/>
    </row>
    <row r="330" spans="8:8" x14ac:dyDescent="0.2">
      <c r="H330"/>
    </row>
    <row r="331" spans="8:8" x14ac:dyDescent="0.2">
      <c r="H331"/>
    </row>
    <row r="332" spans="8:8" x14ac:dyDescent="0.2">
      <c r="H332"/>
    </row>
    <row r="333" spans="8:8" x14ac:dyDescent="0.2">
      <c r="H333"/>
    </row>
    <row r="334" spans="8:8" x14ac:dyDescent="0.2">
      <c r="H334"/>
    </row>
    <row r="335" spans="8:8" x14ac:dyDescent="0.2">
      <c r="H335"/>
    </row>
    <row r="336" spans="8:8" x14ac:dyDescent="0.2">
      <c r="H336"/>
    </row>
    <row r="337" spans="8:8" x14ac:dyDescent="0.2">
      <c r="H337"/>
    </row>
    <row r="338" spans="8:8" x14ac:dyDescent="0.2">
      <c r="H338"/>
    </row>
    <row r="339" spans="8:8" x14ac:dyDescent="0.2">
      <c r="H339"/>
    </row>
    <row r="340" spans="8:8" x14ac:dyDescent="0.2">
      <c r="H340"/>
    </row>
    <row r="341" spans="8:8" x14ac:dyDescent="0.2">
      <c r="H341"/>
    </row>
    <row r="342" spans="8:8" x14ac:dyDescent="0.2">
      <c r="H342"/>
    </row>
    <row r="343" spans="8:8" x14ac:dyDescent="0.2">
      <c r="H343"/>
    </row>
    <row r="344" spans="8:8" x14ac:dyDescent="0.2">
      <c r="H344"/>
    </row>
    <row r="345" spans="8:8" x14ac:dyDescent="0.2">
      <c r="H345"/>
    </row>
    <row r="346" spans="8:8" x14ac:dyDescent="0.2">
      <c r="H346"/>
    </row>
    <row r="347" spans="8:8" x14ac:dyDescent="0.2">
      <c r="H347"/>
    </row>
    <row r="348" spans="8:8" x14ac:dyDescent="0.2">
      <c r="H348"/>
    </row>
    <row r="349" spans="8:8" x14ac:dyDescent="0.2">
      <c r="H349"/>
    </row>
    <row r="350" spans="8:8" x14ac:dyDescent="0.2">
      <c r="H350"/>
    </row>
    <row r="351" spans="8:8" x14ac:dyDescent="0.2">
      <c r="H351"/>
    </row>
    <row r="352" spans="8:8" x14ac:dyDescent="0.2">
      <c r="H352"/>
    </row>
    <row r="353" spans="8:8" x14ac:dyDescent="0.2">
      <c r="H353"/>
    </row>
    <row r="354" spans="8:8" x14ac:dyDescent="0.2">
      <c r="H354"/>
    </row>
    <row r="355" spans="8:8" x14ac:dyDescent="0.2">
      <c r="H355"/>
    </row>
    <row r="356" spans="8:8" x14ac:dyDescent="0.2">
      <c r="H356"/>
    </row>
    <row r="357" spans="8:8" x14ac:dyDescent="0.2">
      <c r="H357"/>
    </row>
    <row r="358" spans="8:8" x14ac:dyDescent="0.2">
      <c r="H358"/>
    </row>
    <row r="359" spans="8:8" x14ac:dyDescent="0.2">
      <c r="H359"/>
    </row>
    <row r="360" spans="8:8" x14ac:dyDescent="0.2">
      <c r="H360"/>
    </row>
    <row r="361" spans="8:8" x14ac:dyDescent="0.2">
      <c r="H361"/>
    </row>
    <row r="362" spans="8:8" x14ac:dyDescent="0.2">
      <c r="H362"/>
    </row>
    <row r="363" spans="8:8" x14ac:dyDescent="0.2">
      <c r="H363"/>
    </row>
    <row r="364" spans="8:8" x14ac:dyDescent="0.2">
      <c r="H364"/>
    </row>
    <row r="365" spans="8:8" x14ac:dyDescent="0.2">
      <c r="H365"/>
    </row>
    <row r="366" spans="8:8" x14ac:dyDescent="0.2">
      <c r="H366"/>
    </row>
    <row r="367" spans="8:8" x14ac:dyDescent="0.2">
      <c r="H367"/>
    </row>
    <row r="368" spans="8:8" x14ac:dyDescent="0.2">
      <c r="H368"/>
    </row>
    <row r="369" spans="8:8" x14ac:dyDescent="0.2">
      <c r="H369"/>
    </row>
    <row r="370" spans="8:8" x14ac:dyDescent="0.2">
      <c r="H370"/>
    </row>
    <row r="371" spans="8:8" x14ac:dyDescent="0.2">
      <c r="H371"/>
    </row>
    <row r="372" spans="8:8" x14ac:dyDescent="0.2">
      <c r="H372"/>
    </row>
    <row r="373" spans="8:8" x14ac:dyDescent="0.2">
      <c r="H373"/>
    </row>
    <row r="374" spans="8:8" x14ac:dyDescent="0.2">
      <c r="H374"/>
    </row>
    <row r="375" spans="8:8" x14ac:dyDescent="0.2">
      <c r="H375"/>
    </row>
    <row r="376" spans="8:8" x14ac:dyDescent="0.2">
      <c r="H376"/>
    </row>
    <row r="377" spans="8:8" x14ac:dyDescent="0.2">
      <c r="H377"/>
    </row>
    <row r="378" spans="8:8" x14ac:dyDescent="0.2">
      <c r="H378"/>
    </row>
    <row r="379" spans="8:8" x14ac:dyDescent="0.2">
      <c r="H379"/>
    </row>
    <row r="380" spans="8:8" x14ac:dyDescent="0.2">
      <c r="H380"/>
    </row>
    <row r="381" spans="8:8" x14ac:dyDescent="0.2">
      <c r="H381"/>
    </row>
    <row r="382" spans="8:8" x14ac:dyDescent="0.2">
      <c r="H382"/>
    </row>
    <row r="383" spans="8:8" x14ac:dyDescent="0.2">
      <c r="H383"/>
    </row>
  </sheetData>
  <printOptions gridLines="1"/>
  <pageMargins left="0.7" right="0.7" top="0.75" bottom="0.75" header="0.3" footer="0.3"/>
  <pageSetup scale="54" orientation="portrait" r:id="rId1"/>
  <ignoredErrors>
    <ignoredError sqref="F19:F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52"/>
  <sheetViews>
    <sheetView topLeftCell="D1" zoomScaleNormal="100" workbookViewId="0">
      <selection activeCell="I18" sqref="I18"/>
    </sheetView>
  </sheetViews>
  <sheetFormatPr defaultRowHeight="12.75" x14ac:dyDescent="0.2"/>
  <cols>
    <col min="1" max="1" width="3" style="25" bestFit="1" customWidth="1"/>
    <col min="2" max="2" width="37.28515625" style="25" customWidth="1"/>
    <col min="3" max="3" width="13" style="25" customWidth="1"/>
    <col min="4" max="4" width="10" style="25" customWidth="1"/>
    <col min="5" max="5" width="4.28515625" style="25" customWidth="1"/>
    <col min="6" max="6" width="8.5703125" style="25" customWidth="1"/>
    <col min="7" max="7" width="8.7109375" style="25" customWidth="1"/>
    <col min="8" max="8" width="11.140625" style="51" customWidth="1"/>
    <col min="9" max="9" width="38.85546875" style="25" customWidth="1"/>
    <col min="10" max="10" width="50" style="25" customWidth="1"/>
    <col min="11" max="11" width="21.140625" style="25" bestFit="1" customWidth="1"/>
    <col min="12" max="12" width="15.5703125" style="25" customWidth="1"/>
    <col min="13" max="13" width="56" customWidth="1"/>
    <col min="14" max="14" width="9.7109375" style="25" customWidth="1"/>
    <col min="15" max="15" width="13.5703125" style="25" bestFit="1" customWidth="1"/>
    <col min="16" max="16384" width="9.140625" style="25"/>
  </cols>
  <sheetData>
    <row r="1" spans="2:12" ht="41.25" customHeight="1" thickBot="1" x14ac:dyDescent="0.3">
      <c r="B1" s="24"/>
      <c r="D1" s="26"/>
      <c r="E1" s="12" t="str">
        <f>' VV - Example'!A1</f>
        <v>ALASKA DNR - OIL &amp; GAS  V 1.201308</v>
      </c>
      <c r="F1" s="27"/>
      <c r="G1" s="27"/>
      <c r="H1" s="28"/>
      <c r="J1" s="12" t="str">
        <f>+' VV - Example'!H1</f>
        <v>EXAMPLE TEMPLATE, NOT TO BE USED FOR FILING REPORT</v>
      </c>
      <c r="K1"/>
      <c r="L1"/>
    </row>
    <row r="2" spans="2:12" ht="15.75" x14ac:dyDescent="0.25">
      <c r="B2" s="231" t="s">
        <v>345</v>
      </c>
      <c r="C2" s="232" t="s">
        <v>41</v>
      </c>
      <c r="D2" s="233" t="s">
        <v>42</v>
      </c>
      <c r="E2" s="29" t="s">
        <v>39</v>
      </c>
      <c r="F2" s="30"/>
      <c r="G2" s="30"/>
      <c r="H2" s="31" t="s">
        <v>45</v>
      </c>
      <c r="I2" s="30" t="s">
        <v>38</v>
      </c>
      <c r="J2" s="31"/>
      <c r="K2" s="31"/>
      <c r="L2" s="31"/>
    </row>
    <row r="3" spans="2:12" x14ac:dyDescent="0.2">
      <c r="B3" s="273" t="s">
        <v>44</v>
      </c>
      <c r="C3" s="337">
        <v>0.09</v>
      </c>
      <c r="D3" s="263" t="s">
        <v>346</v>
      </c>
      <c r="E3" s="29" t="s">
        <v>33</v>
      </c>
      <c r="F3" s="30"/>
      <c r="G3" s="30"/>
      <c r="H3" s="31" t="s">
        <v>43</v>
      </c>
      <c r="I3" s="30" t="s">
        <v>36</v>
      </c>
      <c r="J3" s="31"/>
      <c r="K3" s="31"/>
      <c r="L3" s="31"/>
    </row>
    <row r="4" spans="2:12" x14ac:dyDescent="0.2">
      <c r="B4" s="274" t="s">
        <v>46</v>
      </c>
      <c r="C4" s="337">
        <v>0.03</v>
      </c>
      <c r="D4" s="263" t="s">
        <v>347</v>
      </c>
      <c r="E4" s="32" t="s">
        <v>40</v>
      </c>
      <c r="F4" s="33"/>
      <c r="G4" s="33"/>
      <c r="H4" s="31"/>
      <c r="I4" s="347" t="str">
        <f>' VV - Example'!G4</f>
        <v>REG</v>
      </c>
      <c r="J4" s="35"/>
      <c r="K4" s="31"/>
      <c r="L4" s="31"/>
    </row>
    <row r="5" spans="2:12" x14ac:dyDescent="0.2">
      <c r="B5" s="274" t="s">
        <v>311</v>
      </c>
      <c r="C5" s="338">
        <v>-0.3</v>
      </c>
      <c r="D5" s="234" t="s">
        <v>47</v>
      </c>
      <c r="E5" s="29" t="s">
        <v>14</v>
      </c>
      <c r="F5" s="30"/>
      <c r="G5" s="30"/>
      <c r="H5" s="30"/>
      <c r="I5" s="347" t="str">
        <f>' VV - Example'!G5</f>
        <v>000012345</v>
      </c>
      <c r="J5" s="31"/>
      <c r="K5" s="31"/>
      <c r="L5" s="31"/>
    </row>
    <row r="6" spans="2:12" x14ac:dyDescent="0.2">
      <c r="B6" s="273" t="s">
        <v>48</v>
      </c>
      <c r="C6" s="337">
        <v>0.2</v>
      </c>
      <c r="D6" s="275" t="s">
        <v>309</v>
      </c>
      <c r="E6" s="29"/>
      <c r="F6" s="30"/>
      <c r="G6" s="30"/>
      <c r="H6" s="30"/>
      <c r="I6" s="92"/>
      <c r="J6" s="31"/>
      <c r="K6" s="31"/>
      <c r="L6" s="31"/>
    </row>
    <row r="7" spans="2:12" x14ac:dyDescent="0.2">
      <c r="B7" s="276" t="s">
        <v>412</v>
      </c>
      <c r="C7" s="337">
        <v>-0.2</v>
      </c>
      <c r="D7" s="395" t="s">
        <v>308</v>
      </c>
      <c r="E7" s="29" t="s">
        <v>15</v>
      </c>
      <c r="F7" s="30"/>
      <c r="G7" s="30"/>
      <c r="H7" s="30"/>
      <c r="I7" s="348">
        <f>' VV - Example'!G7</f>
        <v>41640</v>
      </c>
      <c r="J7" s="31"/>
      <c r="K7" s="31"/>
      <c r="L7" s="31"/>
    </row>
    <row r="8" spans="2:12" x14ac:dyDescent="0.2">
      <c r="B8" s="276" t="s">
        <v>413</v>
      </c>
      <c r="C8" s="337">
        <v>-0.25</v>
      </c>
      <c r="D8" s="396"/>
      <c r="E8" s="29" t="s">
        <v>17</v>
      </c>
      <c r="F8" s="30"/>
      <c r="G8" s="30"/>
      <c r="H8" s="30"/>
      <c r="I8" s="347" t="str">
        <f>' VV - Example'!G8</f>
        <v>01</v>
      </c>
      <c r="J8" s="31"/>
      <c r="K8" s="31"/>
      <c r="L8" s="31"/>
    </row>
    <row r="9" spans="2:12" x14ac:dyDescent="0.2">
      <c r="B9" s="277" t="s">
        <v>414</v>
      </c>
      <c r="C9" s="267">
        <v>-0.35</v>
      </c>
      <c r="D9" s="397"/>
      <c r="E9" s="29" t="s">
        <v>5</v>
      </c>
      <c r="F9" s="30"/>
      <c r="G9" s="30"/>
      <c r="H9" s="30"/>
      <c r="I9" s="348">
        <f>' VV - Example'!G9</f>
        <v>41699</v>
      </c>
      <c r="J9" s="31"/>
      <c r="K9" s="31"/>
      <c r="L9" s="31"/>
    </row>
    <row r="10" spans="2:12" x14ac:dyDescent="0.2">
      <c r="B10" s="278" t="s">
        <v>415</v>
      </c>
      <c r="C10" s="337">
        <v>0.22500000000000001</v>
      </c>
      <c r="D10" s="392" t="s">
        <v>133</v>
      </c>
      <c r="E10" s="29" t="s">
        <v>16</v>
      </c>
      <c r="F10" s="30"/>
      <c r="G10" s="30"/>
      <c r="H10" s="30"/>
      <c r="I10" s="347" t="str">
        <f>' VV - Example'!G10</f>
        <v>000012345N03201400</v>
      </c>
      <c r="J10" s="31"/>
      <c r="K10" s="31"/>
      <c r="L10" s="31"/>
    </row>
    <row r="11" spans="2:12" x14ac:dyDescent="0.2">
      <c r="B11" s="278" t="s">
        <v>416</v>
      </c>
      <c r="C11" s="337">
        <v>0.25</v>
      </c>
      <c r="D11" s="393"/>
      <c r="E11" s="29" t="s">
        <v>13</v>
      </c>
      <c r="F11" s="30"/>
      <c r="G11" s="30"/>
      <c r="H11" s="30"/>
      <c r="I11" s="348">
        <f>' VV - Example'!G11</f>
        <v>41729</v>
      </c>
      <c r="J11" s="31"/>
      <c r="K11" s="31"/>
      <c r="L11" s="31"/>
    </row>
    <row r="12" spans="2:12" x14ac:dyDescent="0.2">
      <c r="B12" s="279" t="s">
        <v>417</v>
      </c>
      <c r="C12" s="267">
        <v>0.35</v>
      </c>
      <c r="D12" s="394"/>
      <c r="E12" s="29" t="s">
        <v>7</v>
      </c>
      <c r="F12" s="30"/>
      <c r="G12" s="30"/>
      <c r="H12" s="30"/>
      <c r="I12" s="347" t="str">
        <f>' VV - Example'!G12</f>
        <v>ADL #</v>
      </c>
      <c r="J12" s="31"/>
      <c r="K12" s="31"/>
      <c r="L12" s="31"/>
    </row>
    <row r="13" spans="2:12" x14ac:dyDescent="0.2">
      <c r="B13" s="280" t="s">
        <v>50</v>
      </c>
      <c r="C13" s="339">
        <v>39264</v>
      </c>
      <c r="D13" s="281" t="s">
        <v>51</v>
      </c>
      <c r="E13" s="29"/>
      <c r="F13" s="30"/>
      <c r="G13" s="30"/>
      <c r="H13" s="30"/>
      <c r="I13" s="349"/>
      <c r="J13" s="31"/>
      <c r="K13" s="31"/>
      <c r="L13" s="31"/>
    </row>
    <row r="14" spans="2:12" x14ac:dyDescent="0.2">
      <c r="B14" s="282" t="s">
        <v>401</v>
      </c>
      <c r="C14" s="283">
        <v>41640</v>
      </c>
      <c r="D14" s="281" t="s">
        <v>410</v>
      </c>
      <c r="E14" s="29"/>
      <c r="F14" s="30"/>
      <c r="G14" s="30"/>
      <c r="H14" s="30"/>
      <c r="I14" s="349"/>
      <c r="J14" s="31"/>
      <c r="K14" s="31"/>
      <c r="L14" s="31"/>
    </row>
    <row r="15" spans="2:12" x14ac:dyDescent="0.2">
      <c r="B15" s="284" t="s">
        <v>479</v>
      </c>
      <c r="C15" s="267">
        <v>0.2</v>
      </c>
      <c r="D15" s="281" t="s">
        <v>481</v>
      </c>
      <c r="E15" s="29"/>
      <c r="F15" s="30"/>
      <c r="G15" s="30"/>
      <c r="H15" s="30"/>
      <c r="I15" s="350"/>
      <c r="J15" s="31"/>
      <c r="K15" s="31"/>
      <c r="L15" s="31"/>
    </row>
    <row r="16" spans="2:12" x14ac:dyDescent="0.2">
      <c r="B16" s="284" t="s">
        <v>480</v>
      </c>
      <c r="C16" s="267">
        <v>0.1</v>
      </c>
      <c r="D16" s="281" t="s">
        <v>482</v>
      </c>
      <c r="E16" s="29"/>
      <c r="F16" s="30"/>
      <c r="G16" s="30"/>
      <c r="H16" s="30"/>
      <c r="I16" s="349"/>
      <c r="J16" s="31"/>
      <c r="K16" s="31"/>
      <c r="L16" s="31"/>
    </row>
    <row r="17" spans="2:12" x14ac:dyDescent="0.2">
      <c r="B17" s="285"/>
      <c r="C17" s="286"/>
      <c r="D17" s="287"/>
      <c r="E17" s="29"/>
      <c r="F17" s="30"/>
      <c r="G17" s="30"/>
      <c r="H17" s="30"/>
      <c r="I17" s="349"/>
      <c r="J17" s="31"/>
      <c r="K17" s="31"/>
      <c r="L17" s="31"/>
    </row>
    <row r="18" spans="2:12" x14ac:dyDescent="0.2">
      <c r="B18" s="273" t="s">
        <v>418</v>
      </c>
      <c r="C18" s="338">
        <v>40</v>
      </c>
      <c r="D18" s="389" t="s">
        <v>124</v>
      </c>
      <c r="E18" s="29"/>
      <c r="F18" s="30"/>
      <c r="G18" s="30"/>
      <c r="H18" s="30"/>
      <c r="I18" s="349"/>
      <c r="J18" s="31"/>
      <c r="K18" s="31"/>
      <c r="L18" s="31"/>
    </row>
    <row r="19" spans="2:12" x14ac:dyDescent="0.2">
      <c r="B19" s="273" t="s">
        <v>419</v>
      </c>
      <c r="C19" s="338">
        <v>30</v>
      </c>
      <c r="D19" s="389"/>
      <c r="E19" s="29"/>
      <c r="F19" s="30"/>
      <c r="G19" s="30"/>
      <c r="H19" s="30"/>
      <c r="I19" s="349"/>
      <c r="J19" s="31"/>
      <c r="K19" s="31"/>
      <c r="L19" s="31"/>
    </row>
    <row r="20" spans="2:12" x14ac:dyDescent="0.2">
      <c r="B20" s="273" t="s">
        <v>420</v>
      </c>
      <c r="C20" s="337">
        <v>2.5000000000000001E-3</v>
      </c>
      <c r="D20" s="390" t="s">
        <v>126</v>
      </c>
      <c r="E20" s="29"/>
      <c r="F20" s="30"/>
      <c r="G20" s="30"/>
      <c r="H20" s="30"/>
      <c r="I20" s="351"/>
      <c r="J20" s="31"/>
      <c r="K20" s="31"/>
      <c r="L20" s="31"/>
    </row>
    <row r="21" spans="2:12" x14ac:dyDescent="0.2">
      <c r="B21" s="273" t="s">
        <v>421</v>
      </c>
      <c r="C21" s="337">
        <v>4.0000000000000001E-3</v>
      </c>
      <c r="D21" s="390"/>
      <c r="E21" s="29" t="s">
        <v>22</v>
      </c>
      <c r="F21" s="30"/>
      <c r="G21" s="30"/>
      <c r="H21" s="30"/>
      <c r="I21" s="347" t="str">
        <f>' VV - Example'!G19</f>
        <v>XYZ Company</v>
      </c>
      <c r="J21" s="31"/>
      <c r="K21" s="31"/>
      <c r="L21" s="31"/>
    </row>
    <row r="22" spans="2:12" x14ac:dyDescent="0.2">
      <c r="B22" s="273" t="s">
        <v>422</v>
      </c>
      <c r="C22" s="338">
        <v>92.5</v>
      </c>
      <c r="D22" s="234" t="s">
        <v>52</v>
      </c>
      <c r="E22" s="29"/>
      <c r="F22" s="30"/>
      <c r="G22" s="30"/>
      <c r="H22" s="30"/>
      <c r="I22" s="349"/>
      <c r="J22" s="31"/>
      <c r="K22" s="31"/>
      <c r="L22" s="31"/>
    </row>
    <row r="23" spans="2:12" x14ac:dyDescent="0.2">
      <c r="B23" s="273" t="s">
        <v>423</v>
      </c>
      <c r="C23" s="337">
        <v>1E-3</v>
      </c>
      <c r="D23" s="288" t="s">
        <v>53</v>
      </c>
      <c r="E23" s="29" t="s">
        <v>0</v>
      </c>
      <c r="F23" s="30"/>
      <c r="G23" s="30"/>
      <c r="H23" s="30"/>
      <c r="I23" s="347" t="str">
        <f>' VV - Example'!G21</f>
        <v>Enter Data</v>
      </c>
      <c r="J23" s="31"/>
      <c r="K23" s="31"/>
      <c r="L23" s="31"/>
    </row>
    <row r="24" spans="2:12" x14ac:dyDescent="0.2">
      <c r="B24" s="289" t="s">
        <v>424</v>
      </c>
      <c r="C24" s="337">
        <v>0.25</v>
      </c>
      <c r="D24" s="384" t="s">
        <v>304</v>
      </c>
      <c r="E24" s="29" t="s">
        <v>1</v>
      </c>
      <c r="F24" s="30"/>
      <c r="G24" s="30"/>
      <c r="H24" s="30"/>
      <c r="I24" s="347" t="str">
        <f>' VV - Example'!G22</f>
        <v>Enter Data</v>
      </c>
      <c r="J24" s="31"/>
      <c r="K24" s="31"/>
      <c r="L24" s="31"/>
    </row>
    <row r="25" spans="2:12" x14ac:dyDescent="0.2">
      <c r="B25" s="274" t="s">
        <v>425</v>
      </c>
      <c r="C25" s="337">
        <v>0.5</v>
      </c>
      <c r="D25" s="384"/>
      <c r="E25" s="29" t="s">
        <v>2</v>
      </c>
      <c r="F25" s="30"/>
      <c r="G25" s="30"/>
      <c r="H25" s="30"/>
      <c r="I25" s="347" t="str">
        <f>' VV - Example'!G23</f>
        <v>Enter Data</v>
      </c>
      <c r="J25" s="31"/>
      <c r="K25" s="31"/>
      <c r="L25" s="31"/>
    </row>
    <row r="26" spans="2:12" ht="25.5" x14ac:dyDescent="0.2">
      <c r="B26" s="321" t="s">
        <v>483</v>
      </c>
      <c r="C26" s="301">
        <v>5</v>
      </c>
      <c r="D26" s="234" t="s">
        <v>484</v>
      </c>
      <c r="E26" s="29" t="s">
        <v>3</v>
      </c>
      <c r="F26" s="30"/>
      <c r="G26" s="30"/>
      <c r="H26" s="30"/>
      <c r="I26" s="347" t="str">
        <f>' VV - Example'!G24</f>
        <v>Enter Data</v>
      </c>
      <c r="J26" s="31"/>
      <c r="K26" s="31"/>
      <c r="L26" s="31"/>
    </row>
    <row r="27" spans="2:12" x14ac:dyDescent="0.2">
      <c r="B27" s="290" t="s">
        <v>54</v>
      </c>
      <c r="C27" s="239">
        <v>1.03</v>
      </c>
      <c r="D27" s="235" t="s">
        <v>55</v>
      </c>
      <c r="E27" s="29" t="s">
        <v>4</v>
      </c>
      <c r="F27" s="30"/>
      <c r="G27" s="30"/>
      <c r="H27" s="30"/>
      <c r="I27" s="347" t="str">
        <f>' VV - Example'!G25</f>
        <v>Enter Data</v>
      </c>
      <c r="J27" s="31"/>
      <c r="K27" s="31"/>
      <c r="L27" s="31"/>
    </row>
    <row r="28" spans="2:12" x14ac:dyDescent="0.2">
      <c r="B28" s="290" t="s">
        <v>56</v>
      </c>
      <c r="C28" s="239">
        <f>1.03*Adjustment_Factor_2007</f>
        <v>1.0609</v>
      </c>
      <c r="D28" s="235" t="s">
        <v>57</v>
      </c>
      <c r="E28" s="29" t="s">
        <v>6</v>
      </c>
      <c r="F28" s="30"/>
      <c r="G28" s="30"/>
      <c r="H28" s="30"/>
      <c r="I28" s="347" t="str">
        <f>' VV - Example'!G26</f>
        <v>Enter Data</v>
      </c>
      <c r="J28" s="31"/>
      <c r="K28" s="31"/>
      <c r="L28" s="31"/>
    </row>
    <row r="29" spans="2:12" x14ac:dyDescent="0.2">
      <c r="B29" s="291" t="s">
        <v>58</v>
      </c>
      <c r="C29" s="239">
        <f>1.03*C28</f>
        <v>1.092727</v>
      </c>
      <c r="D29" s="235" t="s">
        <v>59</v>
      </c>
      <c r="E29" s="29" t="s">
        <v>8</v>
      </c>
      <c r="F29" s="30"/>
      <c r="G29" s="30"/>
      <c r="H29" s="30"/>
      <c r="I29" s="347" t="str">
        <f>' VV - Example'!G27</f>
        <v>Enter Data</v>
      </c>
      <c r="J29" s="31"/>
      <c r="K29" s="31"/>
      <c r="L29" s="31"/>
    </row>
    <row r="30" spans="2:12" x14ac:dyDescent="0.2">
      <c r="B30" s="292"/>
      <c r="C30" s="240"/>
      <c r="D30" s="236"/>
      <c r="E30" s="29" t="s">
        <v>9</v>
      </c>
      <c r="F30" s="30"/>
      <c r="G30" s="30"/>
      <c r="H30" s="30"/>
      <c r="I30" s="347" t="str">
        <f>' VV - Example'!G28</f>
        <v>Enter Data</v>
      </c>
      <c r="J30" s="31"/>
      <c r="K30" s="31"/>
      <c r="L30" s="31"/>
    </row>
    <row r="31" spans="2:12" x14ac:dyDescent="0.2">
      <c r="B31" s="290" t="s">
        <v>60</v>
      </c>
      <c r="C31" s="241">
        <v>39083</v>
      </c>
      <c r="D31" s="237" t="s">
        <v>61</v>
      </c>
      <c r="E31" s="29" t="s">
        <v>12</v>
      </c>
      <c r="F31" s="30"/>
      <c r="G31" s="30"/>
      <c r="H31" s="30"/>
      <c r="I31" s="347" t="str">
        <f>' VV - Example'!G29</f>
        <v>Enter Data</v>
      </c>
      <c r="J31" s="31"/>
      <c r="K31" s="31"/>
      <c r="L31" s="31"/>
    </row>
    <row r="32" spans="2:12" x14ac:dyDescent="0.2">
      <c r="B32" s="290" t="s">
        <v>62</v>
      </c>
      <c r="C32" s="241">
        <v>39448</v>
      </c>
      <c r="D32" s="237" t="s">
        <v>63</v>
      </c>
      <c r="E32" s="29" t="s">
        <v>18</v>
      </c>
      <c r="F32" s="30"/>
      <c r="G32" s="30"/>
      <c r="H32" s="30"/>
      <c r="I32" s="347" t="str">
        <f>' VV - Example'!G30</f>
        <v>Enter Data</v>
      </c>
      <c r="J32" s="31"/>
      <c r="K32" s="31"/>
      <c r="L32" s="31"/>
    </row>
    <row r="33" spans="1:14" x14ac:dyDescent="0.2">
      <c r="B33" s="290" t="s">
        <v>64</v>
      </c>
      <c r="C33" s="241">
        <v>39814</v>
      </c>
      <c r="D33" s="237" t="s">
        <v>65</v>
      </c>
      <c r="E33" s="29" t="s">
        <v>10</v>
      </c>
      <c r="F33" s="30"/>
      <c r="G33" s="30"/>
      <c r="H33" s="30"/>
      <c r="I33" s="347" t="str">
        <f>' VV - Example'!G31</f>
        <v>Enter Data</v>
      </c>
      <c r="J33" s="31"/>
      <c r="K33" s="31"/>
      <c r="L33" s="31"/>
    </row>
    <row r="34" spans="1:14" ht="13.5" thickBot="1" x14ac:dyDescent="0.25">
      <c r="B34" s="293" t="s">
        <v>66</v>
      </c>
      <c r="C34" s="242">
        <v>40179</v>
      </c>
      <c r="D34" s="238" t="s">
        <v>67</v>
      </c>
      <c r="E34" s="29" t="s">
        <v>11</v>
      </c>
      <c r="F34" s="30"/>
      <c r="G34" s="30"/>
      <c r="H34" s="30"/>
      <c r="I34" s="347" t="str">
        <f>' VV - Example'!G32</f>
        <v>Enter Data</v>
      </c>
      <c r="J34" s="31"/>
      <c r="K34" s="31"/>
      <c r="L34" s="31"/>
    </row>
    <row r="35" spans="1:14" ht="23.25" thickBot="1" x14ac:dyDescent="0.25">
      <c r="E35" s="40" t="s">
        <v>19</v>
      </c>
      <c r="F35" s="40" t="s">
        <v>37</v>
      </c>
      <c r="G35" s="40" t="s">
        <v>24</v>
      </c>
      <c r="H35" s="40" t="s">
        <v>20</v>
      </c>
      <c r="I35" s="40" t="s">
        <v>68</v>
      </c>
      <c r="J35" s="40" t="s">
        <v>69</v>
      </c>
      <c r="K35" s="40" t="s">
        <v>70</v>
      </c>
      <c r="L35" s="40" t="s">
        <v>21</v>
      </c>
    </row>
    <row r="36" spans="1:14" ht="36" customHeight="1" thickBot="1" x14ac:dyDescent="0.3">
      <c r="A36" s="311" t="s">
        <v>319</v>
      </c>
      <c r="B36" s="378" t="s">
        <v>329</v>
      </c>
      <c r="C36" s="379"/>
      <c r="D36" s="42"/>
      <c r="E36" s="153">
        <v>1</v>
      </c>
      <c r="F36" s="153" t="s">
        <v>344</v>
      </c>
      <c r="G36" s="153" t="s">
        <v>71</v>
      </c>
      <c r="H36" s="157" t="s">
        <v>73</v>
      </c>
      <c r="I36" s="172" t="s">
        <v>478</v>
      </c>
      <c r="J36" s="159" t="s">
        <v>35</v>
      </c>
      <c r="K36" s="155" t="s">
        <v>122</v>
      </c>
      <c r="L36" s="156">
        <f>- (' VV - Example'!F34 * ' VV - Example'!G51 + ' VV - Example'!H52) - (' VV - Example'!F59 * ' VV - Example'!G67 + ' VV - Example'!H68)</f>
        <v>-78170230.074719578</v>
      </c>
      <c r="N36"/>
    </row>
    <row r="37" spans="1:14" x14ac:dyDescent="0.2">
      <c r="B37" s="110"/>
      <c r="C37" s="110"/>
      <c r="E37" s="153">
        <f t="shared" ref="E37:E104" si="0">E36+1</f>
        <v>2</v>
      </c>
      <c r="F37" s="153" t="s">
        <v>344</v>
      </c>
      <c r="G37" s="153" t="s">
        <v>71</v>
      </c>
      <c r="H37" s="157" t="s">
        <v>74</v>
      </c>
      <c r="I37" s="158" t="s">
        <v>75</v>
      </c>
      <c r="J37" s="159" t="s">
        <v>34</v>
      </c>
      <c r="K37" s="155" t="s">
        <v>360</v>
      </c>
      <c r="L37" s="160">
        <f>'AC - Example'!$G73</f>
        <v>4501.2199999999993</v>
      </c>
      <c r="M37" s="305"/>
    </row>
    <row r="38" spans="1:14" x14ac:dyDescent="0.2">
      <c r="B38" s="110"/>
      <c r="C38" s="110"/>
      <c r="E38" s="153">
        <f t="shared" si="0"/>
        <v>3</v>
      </c>
      <c r="F38" s="153" t="s">
        <v>344</v>
      </c>
      <c r="G38" s="153" t="s">
        <v>71</v>
      </c>
      <c r="H38" s="157" t="s">
        <v>196</v>
      </c>
      <c r="I38" s="158" t="s">
        <v>307</v>
      </c>
      <c r="J38" s="159" t="s">
        <v>34</v>
      </c>
      <c r="K38" s="155" t="s">
        <v>360</v>
      </c>
      <c r="L38" s="161">
        <f>'AC - Example'!F74</f>
        <v>0.09</v>
      </c>
    </row>
    <row r="39" spans="1:14" x14ac:dyDescent="0.2">
      <c r="B39" s="110"/>
      <c r="C39" s="110"/>
      <c r="E39" s="153">
        <f t="shared" si="0"/>
        <v>4</v>
      </c>
      <c r="F39" s="153" t="s">
        <v>344</v>
      </c>
      <c r="G39" s="153" t="s">
        <v>71</v>
      </c>
      <c r="H39" s="157" t="s">
        <v>76</v>
      </c>
      <c r="I39" s="158" t="s">
        <v>77</v>
      </c>
      <c r="J39" s="159" t="s">
        <v>34</v>
      </c>
      <c r="K39" s="155" t="s">
        <v>360</v>
      </c>
      <c r="L39" s="160">
        <f>'AC - Example'!$G75</f>
        <v>405.11</v>
      </c>
    </row>
    <row r="40" spans="1:14" x14ac:dyDescent="0.2">
      <c r="B40" s="110"/>
      <c r="C40" s="110"/>
      <c r="E40" s="153">
        <f t="shared" si="0"/>
        <v>5</v>
      </c>
      <c r="F40" s="153" t="s">
        <v>344</v>
      </c>
      <c r="G40" s="153" t="s">
        <v>71</v>
      </c>
      <c r="H40" s="157" t="s">
        <v>78</v>
      </c>
      <c r="I40" s="158" t="s">
        <v>79</v>
      </c>
      <c r="J40" s="159" t="s">
        <v>34</v>
      </c>
      <c r="K40" s="155" t="s">
        <v>360</v>
      </c>
      <c r="L40" s="160">
        <f>'AC - Example'!$G79</f>
        <v>1500.88</v>
      </c>
    </row>
    <row r="41" spans="1:14" x14ac:dyDescent="0.2">
      <c r="B41" s="110"/>
      <c r="C41" s="110"/>
      <c r="E41" s="153">
        <f t="shared" si="0"/>
        <v>6</v>
      </c>
      <c r="F41" s="153" t="s">
        <v>344</v>
      </c>
      <c r="G41" s="153" t="s">
        <v>71</v>
      </c>
      <c r="H41" s="157" t="s">
        <v>80</v>
      </c>
      <c r="I41" s="162" t="s">
        <v>81</v>
      </c>
      <c r="J41" s="159" t="s">
        <v>34</v>
      </c>
      <c r="K41" s="155" t="s">
        <v>360</v>
      </c>
      <c r="L41" s="160">
        <f>'AC - Example'!$G80</f>
        <v>5000.12</v>
      </c>
    </row>
    <row r="42" spans="1:14" x14ac:dyDescent="0.2">
      <c r="B42" s="110"/>
      <c r="C42" s="110"/>
      <c r="E42" s="153">
        <f t="shared" si="0"/>
        <v>7</v>
      </c>
      <c r="F42" s="153" t="s">
        <v>344</v>
      </c>
      <c r="G42" s="153" t="s">
        <v>71</v>
      </c>
      <c r="H42" s="157" t="s">
        <v>82</v>
      </c>
      <c r="I42" s="158" t="s">
        <v>83</v>
      </c>
      <c r="J42" s="159" t="s">
        <v>34</v>
      </c>
      <c r="K42" s="155" t="s">
        <v>360</v>
      </c>
      <c r="L42" s="156">
        <f>'AC - Example'!$G81</f>
        <v>0</v>
      </c>
    </row>
    <row r="43" spans="1:14" x14ac:dyDescent="0.2">
      <c r="B43" s="110"/>
      <c r="C43" s="110"/>
      <c r="E43" s="153">
        <f t="shared" si="0"/>
        <v>8</v>
      </c>
      <c r="F43" s="153" t="s">
        <v>344</v>
      </c>
      <c r="G43" s="153" t="s">
        <v>71</v>
      </c>
      <c r="H43" s="157" t="s">
        <v>84</v>
      </c>
      <c r="I43" s="163" t="s">
        <v>85</v>
      </c>
      <c r="J43" s="159" t="s">
        <v>34</v>
      </c>
      <c r="K43" s="155" t="s">
        <v>361</v>
      </c>
      <c r="L43" s="160">
        <f>'AC - Example'!$G83</f>
        <v>8794235.3300000001</v>
      </c>
    </row>
    <row r="44" spans="1:14" x14ac:dyDescent="0.2">
      <c r="B44" s="110"/>
      <c r="C44" s="110"/>
      <c r="E44" s="153">
        <f t="shared" si="0"/>
        <v>9</v>
      </c>
      <c r="F44" s="153" t="s">
        <v>344</v>
      </c>
      <c r="G44" s="157" t="s">
        <v>38</v>
      </c>
      <c r="H44" s="157" t="s">
        <v>86</v>
      </c>
      <c r="I44" s="163" t="s">
        <v>366</v>
      </c>
      <c r="J44" s="123" t="s">
        <v>153</v>
      </c>
      <c r="K44" s="155" t="s">
        <v>87</v>
      </c>
      <c r="L44" s="133">
        <v>2</v>
      </c>
    </row>
    <row r="45" spans="1:14" ht="39.950000000000003" customHeight="1" x14ac:dyDescent="0.2">
      <c r="B45" s="110"/>
      <c r="C45" s="110"/>
      <c r="E45" s="153">
        <f t="shared" si="0"/>
        <v>10</v>
      </c>
      <c r="F45" s="153" t="s">
        <v>344</v>
      </c>
      <c r="G45" s="153" t="s">
        <v>38</v>
      </c>
      <c r="H45" s="164" t="s">
        <v>88</v>
      </c>
      <c r="I45" s="163" t="s">
        <v>348</v>
      </c>
      <c r="J45" s="257" t="s">
        <v>442</v>
      </c>
      <c r="K45" s="155" t="s">
        <v>360</v>
      </c>
      <c r="L45" s="119">
        <v>0</v>
      </c>
    </row>
    <row r="46" spans="1:14" ht="39.950000000000003" customHeight="1" x14ac:dyDescent="0.2">
      <c r="B46" s="110"/>
      <c r="C46" s="110"/>
      <c r="E46" s="153">
        <f t="shared" si="0"/>
        <v>11</v>
      </c>
      <c r="F46" s="153" t="s">
        <v>344</v>
      </c>
      <c r="G46" s="153" t="s">
        <v>38</v>
      </c>
      <c r="H46" s="166" t="s">
        <v>89</v>
      </c>
      <c r="I46" s="167" t="s">
        <v>90</v>
      </c>
      <c r="J46" s="165" t="s">
        <v>441</v>
      </c>
      <c r="K46" s="155" t="s">
        <v>360</v>
      </c>
      <c r="L46" s="168">
        <f>ROUND(IF(AND(L44=1,PDMO&gt;=Start_date_for_adjustment_2007,PDMO&lt;End_date_for_cap),IF(PDMO&lt;Start_date_for_2nd_year_of_adjustment_2008,(L45/9)*Adjustment_Factor_2007,IF(PDMO&lt;Start_date_for_3nd_year_of_adjustment_2009,(L45/9)*$C$28,(L45/9)*Adjustment_Factor_2009)),L37+SUM(L39:L42)),2)</f>
        <v>11407.33</v>
      </c>
    </row>
    <row r="47" spans="1:14" x14ac:dyDescent="0.2">
      <c r="B47" s="110"/>
      <c r="C47" s="110"/>
      <c r="E47" s="153">
        <f t="shared" si="0"/>
        <v>12</v>
      </c>
      <c r="F47" s="153" t="s">
        <v>344</v>
      </c>
      <c r="G47" s="153" t="s">
        <v>91</v>
      </c>
      <c r="H47" s="169" t="s">
        <v>74</v>
      </c>
      <c r="I47" s="170" t="s">
        <v>75</v>
      </c>
      <c r="J47" s="159" t="s">
        <v>34</v>
      </c>
      <c r="K47" s="171" t="s">
        <v>320</v>
      </c>
      <c r="L47" s="160">
        <f>'AC - Example'!$G41</f>
        <v>2600001.4500000002</v>
      </c>
    </row>
    <row r="48" spans="1:14" x14ac:dyDescent="0.2">
      <c r="B48" s="110"/>
      <c r="C48" s="110"/>
      <c r="E48" s="153">
        <f t="shared" si="0"/>
        <v>13</v>
      </c>
      <c r="F48" s="153" t="s">
        <v>344</v>
      </c>
      <c r="G48" s="153" t="s">
        <v>91</v>
      </c>
      <c r="H48" s="169" t="s">
        <v>196</v>
      </c>
      <c r="I48" s="172" t="s">
        <v>306</v>
      </c>
      <c r="J48" s="159" t="s">
        <v>34</v>
      </c>
      <c r="K48" s="171" t="s">
        <v>320</v>
      </c>
      <c r="L48" s="161">
        <f>'AC - Example'!F42</f>
        <v>0.03</v>
      </c>
    </row>
    <row r="49" spans="2:23" x14ac:dyDescent="0.2">
      <c r="B49" s="110"/>
      <c r="C49" s="110"/>
      <c r="E49" s="153">
        <f t="shared" si="0"/>
        <v>14</v>
      </c>
      <c r="F49" s="153" t="s">
        <v>344</v>
      </c>
      <c r="G49" s="153" t="s">
        <v>91</v>
      </c>
      <c r="H49" s="169" t="s">
        <v>76</v>
      </c>
      <c r="I49" s="172" t="s">
        <v>92</v>
      </c>
      <c r="J49" s="159" t="s">
        <v>34</v>
      </c>
      <c r="K49" s="171" t="s">
        <v>320</v>
      </c>
      <c r="L49" s="173">
        <f>+'AC - Example'!G43</f>
        <v>78000.039999999994</v>
      </c>
    </row>
    <row r="50" spans="2:23" x14ac:dyDescent="0.2">
      <c r="B50" s="110"/>
      <c r="C50" s="110"/>
      <c r="E50" s="153">
        <f t="shared" si="0"/>
        <v>15</v>
      </c>
      <c r="F50" s="153" t="s">
        <v>344</v>
      </c>
      <c r="G50" s="153" t="s">
        <v>91</v>
      </c>
      <c r="H50" s="169" t="s">
        <v>93</v>
      </c>
      <c r="I50" s="172" t="s">
        <v>94</v>
      </c>
      <c r="J50" s="159" t="s">
        <v>34</v>
      </c>
      <c r="K50" s="171" t="s">
        <v>320</v>
      </c>
      <c r="L50" s="174">
        <f>'AC - Example'!G47</f>
        <v>0</v>
      </c>
    </row>
    <row r="51" spans="2:23" ht="15.75" x14ac:dyDescent="0.25">
      <c r="B51" s="110"/>
      <c r="C51" s="110"/>
      <c r="E51" s="153">
        <f t="shared" si="0"/>
        <v>16</v>
      </c>
      <c r="F51" s="153" t="s">
        <v>344</v>
      </c>
      <c r="G51" s="153" t="s">
        <v>38</v>
      </c>
      <c r="H51" s="169" t="s">
        <v>47</v>
      </c>
      <c r="I51" s="172" t="s">
        <v>311</v>
      </c>
      <c r="J51" s="165" t="s">
        <v>393</v>
      </c>
      <c r="K51" s="171" t="s">
        <v>320</v>
      </c>
      <c r="L51" s="243">
        <f>Capital_Exclusion_Cents_Per_BOE</f>
        <v>-0.3</v>
      </c>
    </row>
    <row r="52" spans="2:23" x14ac:dyDescent="0.2">
      <c r="B52" s="110"/>
      <c r="C52" s="110"/>
      <c r="E52" s="153">
        <f t="shared" si="0"/>
        <v>17</v>
      </c>
      <c r="F52" s="153" t="s">
        <v>344</v>
      </c>
      <c r="G52" s="153" t="s">
        <v>38</v>
      </c>
      <c r="H52" s="169" t="s">
        <v>95</v>
      </c>
      <c r="I52" s="172" t="s">
        <v>96</v>
      </c>
      <c r="J52" s="159" t="s">
        <v>355</v>
      </c>
      <c r="K52" s="171" t="s">
        <v>320</v>
      </c>
      <c r="L52" s="174">
        <f>ROUND(Capital_Exclusion_Cents_Per_BOE*L77,2)</f>
        <v>-213082.57</v>
      </c>
    </row>
    <row r="53" spans="2:23" x14ac:dyDescent="0.2">
      <c r="B53" s="110"/>
      <c r="C53" s="110"/>
      <c r="E53" s="153">
        <f t="shared" si="0"/>
        <v>18</v>
      </c>
      <c r="F53" s="153" t="s">
        <v>344</v>
      </c>
      <c r="G53" s="153" t="s">
        <v>38</v>
      </c>
      <c r="H53" s="153" t="s">
        <v>97</v>
      </c>
      <c r="I53" s="154" t="s">
        <v>342</v>
      </c>
      <c r="J53" s="171" t="s">
        <v>98</v>
      </c>
      <c r="K53" s="171" t="s">
        <v>320</v>
      </c>
      <c r="L53" s="168">
        <f>L47+L50+L52</f>
        <v>2386918.8800000004</v>
      </c>
    </row>
    <row r="54" spans="2:23" x14ac:dyDescent="0.2">
      <c r="B54" s="110"/>
      <c r="C54" s="110"/>
      <c r="E54" s="153">
        <f t="shared" si="0"/>
        <v>19</v>
      </c>
      <c r="F54" s="153" t="s">
        <v>344</v>
      </c>
      <c r="G54" s="153" t="s">
        <v>91</v>
      </c>
      <c r="H54" s="153" t="s">
        <v>100</v>
      </c>
      <c r="I54" s="172" t="s">
        <v>101</v>
      </c>
      <c r="J54" s="159" t="s">
        <v>34</v>
      </c>
      <c r="K54" s="171" t="s">
        <v>321</v>
      </c>
      <c r="L54" s="168">
        <f>'AC - Example'!G51</f>
        <v>768000.12</v>
      </c>
    </row>
    <row r="55" spans="2:23" ht="25.5" x14ac:dyDescent="0.2">
      <c r="B55" s="110"/>
      <c r="C55" s="110"/>
      <c r="E55" s="153">
        <f t="shared" si="0"/>
        <v>20</v>
      </c>
      <c r="F55" s="153" t="s">
        <v>344</v>
      </c>
      <c r="G55" s="153" t="s">
        <v>38</v>
      </c>
      <c r="H55" s="153" t="s">
        <v>102</v>
      </c>
      <c r="I55" s="175" t="s">
        <v>103</v>
      </c>
      <c r="J55" s="165" t="s">
        <v>104</v>
      </c>
      <c r="K55" s="171" t="s">
        <v>321</v>
      </c>
      <c r="L55" s="168">
        <f>L49+L53+L54</f>
        <v>3232919.0400000005</v>
      </c>
    </row>
    <row r="56" spans="2:23" x14ac:dyDescent="0.2">
      <c r="B56" s="110"/>
      <c r="C56" s="110"/>
      <c r="E56" s="153">
        <f t="shared" si="0"/>
        <v>21</v>
      </c>
      <c r="F56" s="153" t="s">
        <v>344</v>
      </c>
      <c r="G56" s="153" t="s">
        <v>38</v>
      </c>
      <c r="H56" s="264" t="s">
        <v>148</v>
      </c>
      <c r="I56" s="195" t="s">
        <v>149</v>
      </c>
      <c r="J56" s="171" t="s">
        <v>150</v>
      </c>
      <c r="K56" s="155" t="s">
        <v>464</v>
      </c>
      <c r="L56" s="156">
        <f>L36+L43</f>
        <v>-69375994.74471958</v>
      </c>
    </row>
    <row r="57" spans="2:23" ht="38.25" x14ac:dyDescent="0.2">
      <c r="B57" s="41"/>
      <c r="C57" s="113"/>
      <c r="D57" s="36"/>
      <c r="E57" s="153">
        <f>E56+1</f>
        <v>22</v>
      </c>
      <c r="F57" s="153" t="s">
        <v>344</v>
      </c>
      <c r="G57" s="153" t="s">
        <v>38</v>
      </c>
      <c r="H57" s="264" t="s">
        <v>402</v>
      </c>
      <c r="I57" s="178" t="s">
        <v>548</v>
      </c>
      <c r="J57" s="319" t="s">
        <v>153</v>
      </c>
      <c r="K57" s="203" t="s">
        <v>528</v>
      </c>
      <c r="L57" s="318">
        <v>200000</v>
      </c>
      <c r="M57" s="314"/>
      <c r="N57"/>
    </row>
    <row r="58" spans="2:23" ht="38.25" x14ac:dyDescent="0.2">
      <c r="B58" s="41"/>
      <c r="C58" s="113"/>
      <c r="D58" s="36"/>
      <c r="E58" s="153">
        <f>E57+1</f>
        <v>23</v>
      </c>
      <c r="F58" s="153" t="s">
        <v>344</v>
      </c>
      <c r="G58" s="153" t="s">
        <v>38</v>
      </c>
      <c r="H58" s="264" t="s">
        <v>407</v>
      </c>
      <c r="I58" s="214" t="s">
        <v>477</v>
      </c>
      <c r="J58" s="319" t="s">
        <v>153</v>
      </c>
      <c r="K58" s="203" t="s">
        <v>528</v>
      </c>
      <c r="L58" s="318">
        <v>50000</v>
      </c>
      <c r="M58" s="314"/>
      <c r="N58"/>
    </row>
    <row r="59" spans="2:23" s="48" customFormat="1" ht="39.75" customHeight="1" x14ac:dyDescent="0.2">
      <c r="B59"/>
      <c r="C59" s="41"/>
      <c r="D59" s="39"/>
      <c r="E59" s="153">
        <f>E58+1</f>
        <v>24</v>
      </c>
      <c r="F59" s="153" t="s">
        <v>344</v>
      </c>
      <c r="G59" s="153" t="s">
        <v>38</v>
      </c>
      <c r="H59" s="264" t="s">
        <v>461</v>
      </c>
      <c r="I59" s="178" t="s">
        <v>460</v>
      </c>
      <c r="J59" s="190" t="s">
        <v>462</v>
      </c>
      <c r="K59" s="203" t="s">
        <v>122</v>
      </c>
      <c r="L59" s="184">
        <f>+' VV - Example'!F34-' VV - Example'!F37</f>
        <v>710000.10649999999</v>
      </c>
      <c r="M59"/>
      <c r="N59" s="25"/>
      <c r="O59" s="25"/>
      <c r="P59" s="25"/>
      <c r="Q59" s="25"/>
      <c r="R59" s="25"/>
      <c r="S59" s="25"/>
      <c r="T59" s="25"/>
      <c r="U59" s="25"/>
      <c r="V59" s="25"/>
      <c r="W59" s="25"/>
    </row>
    <row r="60" spans="2:23" s="48" customFormat="1" ht="39.75" customHeight="1" x14ac:dyDescent="0.2">
      <c r="B60"/>
      <c r="C60" s="41"/>
      <c r="D60" s="39"/>
      <c r="E60" s="153">
        <f>E59+1</f>
        <v>25</v>
      </c>
      <c r="F60" s="153" t="s">
        <v>344</v>
      </c>
      <c r="G60" s="153" t="s">
        <v>38</v>
      </c>
      <c r="H60" s="264" t="s">
        <v>517</v>
      </c>
      <c r="I60" s="178" t="s">
        <v>520</v>
      </c>
      <c r="J60" s="190" t="s">
        <v>516</v>
      </c>
      <c r="K60" s="203" t="s">
        <v>122</v>
      </c>
      <c r="L60" s="184">
        <f>+' VV - Example'!H53-' VV - Example'!H54</f>
        <v>61553737.13000001</v>
      </c>
      <c r="M60"/>
      <c r="N60" s="25"/>
      <c r="O60" s="25"/>
      <c r="P60" s="25"/>
      <c r="Q60" s="25"/>
      <c r="R60" s="25"/>
      <c r="S60" s="25"/>
      <c r="T60" s="25"/>
      <c r="U60" s="25"/>
      <c r="V60" s="25"/>
      <c r="W60" s="25"/>
    </row>
    <row r="61" spans="2:23" ht="25.5" x14ac:dyDescent="0.2">
      <c r="B61" s="110"/>
      <c r="C61" s="110"/>
      <c r="E61" s="153">
        <f t="shared" ref="E61:E76" si="1">E60+1</f>
        <v>26</v>
      </c>
      <c r="F61" s="153" t="s">
        <v>344</v>
      </c>
      <c r="G61" s="153" t="s">
        <v>38</v>
      </c>
      <c r="H61" s="264" t="s">
        <v>406</v>
      </c>
      <c r="I61" s="214" t="s">
        <v>544</v>
      </c>
      <c r="J61" s="165" t="s">
        <v>518</v>
      </c>
      <c r="K61" s="155" t="s">
        <v>122</v>
      </c>
      <c r="L61" s="156">
        <f>(L57/L59)*L60</f>
        <v>17339078.280828401</v>
      </c>
    </row>
    <row r="62" spans="2:23" ht="25.5" x14ac:dyDescent="0.2">
      <c r="B62" s="110"/>
      <c r="C62" s="110"/>
      <c r="E62" s="153">
        <f t="shared" si="1"/>
        <v>27</v>
      </c>
      <c r="F62" s="153" t="s">
        <v>344</v>
      </c>
      <c r="G62" s="153" t="s">
        <v>38</v>
      </c>
      <c r="H62" s="264" t="s">
        <v>408</v>
      </c>
      <c r="I62" s="214" t="s">
        <v>545</v>
      </c>
      <c r="J62" s="165" t="s">
        <v>519</v>
      </c>
      <c r="K62" s="203" t="s">
        <v>122</v>
      </c>
      <c r="L62" s="156">
        <f>+(L58/L59)*L60</f>
        <v>4334769.5702071004</v>
      </c>
    </row>
    <row r="63" spans="2:23" ht="38.25" x14ac:dyDescent="0.2">
      <c r="B63" s="110"/>
      <c r="C63" s="110"/>
      <c r="E63" s="153">
        <f t="shared" si="1"/>
        <v>28</v>
      </c>
      <c r="F63" s="153" t="s">
        <v>344</v>
      </c>
      <c r="G63" s="153" t="s">
        <v>38</v>
      </c>
      <c r="H63" s="264" t="s">
        <v>409</v>
      </c>
      <c r="I63" s="214" t="s">
        <v>546</v>
      </c>
      <c r="J63" s="165" t="s">
        <v>485</v>
      </c>
      <c r="K63" s="203" t="s">
        <v>122</v>
      </c>
      <c r="L63" s="156">
        <f>L61-L62</f>
        <v>13004308.710621301</v>
      </c>
    </row>
    <row r="64" spans="2:23" ht="38.25" x14ac:dyDescent="0.2">
      <c r="B64" s="41"/>
      <c r="C64" s="113"/>
      <c r="D64" s="36"/>
      <c r="E64" s="153">
        <f>E63+1</f>
        <v>29</v>
      </c>
      <c r="F64" s="153" t="s">
        <v>344</v>
      </c>
      <c r="G64" s="153" t="s">
        <v>38</v>
      </c>
      <c r="H64" s="264" t="s">
        <v>529</v>
      </c>
      <c r="I64" s="178" t="s">
        <v>549</v>
      </c>
      <c r="J64" s="319" t="s">
        <v>153</v>
      </c>
      <c r="K64" s="203" t="s">
        <v>528</v>
      </c>
      <c r="L64" s="318">
        <v>500</v>
      </c>
      <c r="M64" s="314"/>
      <c r="N64"/>
    </row>
    <row r="65" spans="1:23" ht="38.25" x14ac:dyDescent="0.2">
      <c r="B65" s="41"/>
      <c r="C65" s="113"/>
      <c r="D65" s="36"/>
      <c r="E65" s="153">
        <f>E64+1</f>
        <v>30</v>
      </c>
      <c r="F65" s="153" t="s">
        <v>344</v>
      </c>
      <c r="G65" s="153" t="s">
        <v>38</v>
      </c>
      <c r="H65" s="264" t="s">
        <v>530</v>
      </c>
      <c r="I65" s="214" t="s">
        <v>536</v>
      </c>
      <c r="J65" s="319" t="s">
        <v>153</v>
      </c>
      <c r="K65" s="203" t="s">
        <v>528</v>
      </c>
      <c r="L65" s="318">
        <v>100</v>
      </c>
      <c r="M65" s="314"/>
      <c r="N65"/>
    </row>
    <row r="66" spans="1:23" s="48" customFormat="1" ht="39.75" customHeight="1" x14ac:dyDescent="0.2">
      <c r="B66"/>
      <c r="C66" s="41"/>
      <c r="D66" s="39"/>
      <c r="E66" s="153">
        <f>E65+1</f>
        <v>31</v>
      </c>
      <c r="F66" s="153" t="s">
        <v>344</v>
      </c>
      <c r="G66" s="153" t="s">
        <v>38</v>
      </c>
      <c r="H66" s="264" t="s">
        <v>531</v>
      </c>
      <c r="I66" s="178" t="s">
        <v>537</v>
      </c>
      <c r="J66" s="190" t="s">
        <v>538</v>
      </c>
      <c r="K66" s="203" t="s">
        <v>122</v>
      </c>
      <c r="L66" s="184">
        <f>+' VV - Example'!F59-' VV - Example'!F60</f>
        <v>1650.8500000000001</v>
      </c>
      <c r="M66"/>
      <c r="N66" s="25"/>
      <c r="O66" s="25"/>
      <c r="P66" s="25"/>
      <c r="Q66" s="25"/>
      <c r="R66" s="25"/>
      <c r="S66" s="25"/>
      <c r="T66" s="25"/>
      <c r="U66" s="25"/>
      <c r="V66" s="25"/>
      <c r="W66" s="25"/>
    </row>
    <row r="67" spans="1:23" s="48" customFormat="1" ht="39.75" customHeight="1" x14ac:dyDescent="0.2">
      <c r="B67"/>
      <c r="C67" s="41"/>
      <c r="D67" s="39"/>
      <c r="E67" s="153">
        <f>E66+1</f>
        <v>32</v>
      </c>
      <c r="F67" s="153" t="s">
        <v>344</v>
      </c>
      <c r="G67" s="153" t="s">
        <v>38</v>
      </c>
      <c r="H67" s="264" t="s">
        <v>532</v>
      </c>
      <c r="I67" s="178" t="s">
        <v>542</v>
      </c>
      <c r="J67" s="190" t="s">
        <v>550</v>
      </c>
      <c r="K67" s="203" t="s">
        <v>122</v>
      </c>
      <c r="L67" s="184">
        <f>+' VV - Example'!H69-' VV - Example'!H70</f>
        <v>5910.0400000000009</v>
      </c>
      <c r="M67"/>
      <c r="N67" s="25"/>
      <c r="O67" s="25"/>
      <c r="P67" s="25"/>
      <c r="Q67" s="25"/>
      <c r="R67" s="25"/>
      <c r="S67" s="25"/>
      <c r="T67" s="25"/>
      <c r="U67" s="25"/>
      <c r="V67" s="25"/>
      <c r="W67" s="25"/>
    </row>
    <row r="68" spans="1:23" ht="25.5" x14ac:dyDescent="0.2">
      <c r="B68" s="110"/>
      <c r="C68" s="110"/>
      <c r="E68" s="153">
        <f t="shared" si="1"/>
        <v>33</v>
      </c>
      <c r="F68" s="153" t="s">
        <v>344</v>
      </c>
      <c r="G68" s="153" t="s">
        <v>38</v>
      </c>
      <c r="H68" s="264" t="s">
        <v>533</v>
      </c>
      <c r="I68" s="214" t="s">
        <v>551</v>
      </c>
      <c r="J68" s="165" t="s">
        <v>539</v>
      </c>
      <c r="K68" s="155" t="s">
        <v>122</v>
      </c>
      <c r="L68" s="156">
        <f>(L64/L66)*L67</f>
        <v>1789.9990913771694</v>
      </c>
    </row>
    <row r="69" spans="1:23" ht="25.5" x14ac:dyDescent="0.2">
      <c r="B69" s="110"/>
      <c r="C69" s="110"/>
      <c r="E69" s="153">
        <f t="shared" si="1"/>
        <v>34</v>
      </c>
      <c r="F69" s="153" t="s">
        <v>344</v>
      </c>
      <c r="G69" s="153" t="s">
        <v>38</v>
      </c>
      <c r="H69" s="264" t="s">
        <v>534</v>
      </c>
      <c r="I69" s="214" t="s">
        <v>547</v>
      </c>
      <c r="J69" s="165" t="s">
        <v>540</v>
      </c>
      <c r="K69" s="203" t="s">
        <v>122</v>
      </c>
      <c r="L69" s="156">
        <f>+(L65/L66)*L67</f>
        <v>357.99981827543388</v>
      </c>
    </row>
    <row r="70" spans="1:23" ht="38.25" x14ac:dyDescent="0.2">
      <c r="B70" s="110"/>
      <c r="C70" s="110"/>
      <c r="E70" s="153">
        <f t="shared" si="1"/>
        <v>35</v>
      </c>
      <c r="F70" s="153" t="s">
        <v>344</v>
      </c>
      <c r="G70" s="153" t="s">
        <v>38</v>
      </c>
      <c r="H70" s="264" t="s">
        <v>535</v>
      </c>
      <c r="I70" s="214" t="s">
        <v>552</v>
      </c>
      <c r="J70" s="165" t="s">
        <v>541</v>
      </c>
      <c r="K70" s="203" t="s">
        <v>122</v>
      </c>
      <c r="L70" s="156">
        <f>L68-L69</f>
        <v>1431.9992731017355</v>
      </c>
    </row>
    <row r="71" spans="1:23" ht="25.5" x14ac:dyDescent="0.2">
      <c r="B71" s="110"/>
      <c r="C71" s="110"/>
      <c r="E71" s="153">
        <f t="shared" si="1"/>
        <v>36</v>
      </c>
      <c r="F71" s="153" t="s">
        <v>344</v>
      </c>
      <c r="G71" s="153" t="s">
        <v>38</v>
      </c>
      <c r="H71" s="264" t="s">
        <v>508</v>
      </c>
      <c r="I71" s="214" t="s">
        <v>486</v>
      </c>
      <c r="J71" s="165" t="s">
        <v>543</v>
      </c>
      <c r="K71" s="203" t="s">
        <v>122</v>
      </c>
      <c r="L71" s="156">
        <f>IF(PDMO&lt;MAPA_effective_date,0,-(L63+L70)*GVRO-(GVRO+HRGVRO)*(L62+L69))</f>
        <v>-3901686.4129864937</v>
      </c>
    </row>
    <row r="72" spans="1:23" ht="25.5" x14ac:dyDescent="0.2">
      <c r="B72" s="110"/>
      <c r="C72" s="110"/>
      <c r="E72" s="153">
        <f t="shared" si="1"/>
        <v>37</v>
      </c>
      <c r="F72" s="153" t="s">
        <v>344</v>
      </c>
      <c r="G72" s="153" t="s">
        <v>38</v>
      </c>
      <c r="H72" s="264" t="s">
        <v>405</v>
      </c>
      <c r="I72" s="265" t="s">
        <v>487</v>
      </c>
      <c r="J72" s="272" t="s">
        <v>488</v>
      </c>
      <c r="K72" s="203" t="s">
        <v>122</v>
      </c>
      <c r="L72" s="156">
        <f>L104+L71</f>
        <v>-73277681.157706067</v>
      </c>
    </row>
    <row r="73" spans="1:23" ht="26.25" thickBot="1" x14ac:dyDescent="0.25">
      <c r="B73" s="377"/>
      <c r="C73" s="377"/>
      <c r="E73" s="153">
        <f t="shared" si="1"/>
        <v>38</v>
      </c>
      <c r="F73" s="153" t="s">
        <v>344</v>
      </c>
      <c r="G73" s="157" t="s">
        <v>38</v>
      </c>
      <c r="H73" s="264" t="s">
        <v>105</v>
      </c>
      <c r="I73" s="170" t="s">
        <v>106</v>
      </c>
      <c r="J73" s="176" t="s">
        <v>428</v>
      </c>
      <c r="K73" s="177" t="s">
        <v>122</v>
      </c>
      <c r="L73" s="156">
        <f>L46+L55+L72</f>
        <v>-70033354.787706062</v>
      </c>
    </row>
    <row r="74" spans="1:23" ht="16.5" thickBot="1" x14ac:dyDescent="0.3">
      <c r="A74" s="311" t="s">
        <v>107</v>
      </c>
      <c r="B74" s="378" t="s">
        <v>330</v>
      </c>
      <c r="C74" s="379"/>
      <c r="E74" s="153">
        <f t="shared" si="1"/>
        <v>39</v>
      </c>
      <c r="F74" s="153" t="s">
        <v>313</v>
      </c>
      <c r="G74" s="153" t="s">
        <v>91</v>
      </c>
      <c r="H74" s="153" t="s">
        <v>74</v>
      </c>
      <c r="I74" s="178" t="s">
        <v>75</v>
      </c>
      <c r="J74" s="155" t="s">
        <v>34</v>
      </c>
      <c r="K74" s="155" t="s">
        <v>99</v>
      </c>
      <c r="L74" s="168">
        <f>L47</f>
        <v>2600001.4500000002</v>
      </c>
    </row>
    <row r="75" spans="1:23" x14ac:dyDescent="0.2">
      <c r="B75" s="110"/>
      <c r="C75" s="110"/>
      <c r="D75" s="43"/>
      <c r="E75" s="153">
        <f t="shared" si="1"/>
        <v>40</v>
      </c>
      <c r="F75" s="157" t="s">
        <v>313</v>
      </c>
      <c r="G75" s="157" t="s">
        <v>38</v>
      </c>
      <c r="H75" s="157" t="s">
        <v>108</v>
      </c>
      <c r="I75" s="179" t="s">
        <v>109</v>
      </c>
      <c r="J75" s="180" t="s">
        <v>364</v>
      </c>
      <c r="K75" s="181" t="s">
        <v>322</v>
      </c>
      <c r="L75" s="182">
        <f>' VV - Example'!$F34+' VV - Example'!F72</f>
        <v>800314.56833333336</v>
      </c>
    </row>
    <row r="76" spans="1:23" x14ac:dyDescent="0.2">
      <c r="B76" s="110"/>
      <c r="C76" s="110"/>
      <c r="E76" s="153">
        <f t="shared" si="1"/>
        <v>41</v>
      </c>
      <c r="F76" s="153" t="s">
        <v>313</v>
      </c>
      <c r="G76" s="153" t="s">
        <v>38</v>
      </c>
      <c r="H76" s="153" t="s">
        <v>110</v>
      </c>
      <c r="I76" s="178" t="s">
        <v>111</v>
      </c>
      <c r="J76" s="180" t="s">
        <v>489</v>
      </c>
      <c r="K76" s="181" t="s">
        <v>322</v>
      </c>
      <c r="L76" s="182">
        <f>' VV - Example'!$F37+' VV - Example'!F61</f>
        <v>90039.320166666672</v>
      </c>
    </row>
    <row r="77" spans="1:23" ht="40.5" customHeight="1" x14ac:dyDescent="0.2">
      <c r="B77" s="110"/>
      <c r="C77" s="110"/>
      <c r="E77" s="153">
        <f t="shared" si="0"/>
        <v>42</v>
      </c>
      <c r="F77" s="153" t="s">
        <v>313</v>
      </c>
      <c r="G77" s="153" t="s">
        <v>38</v>
      </c>
      <c r="H77" s="153" t="s">
        <v>112</v>
      </c>
      <c r="I77" s="183" t="s">
        <v>113</v>
      </c>
      <c r="J77" s="176" t="s">
        <v>490</v>
      </c>
      <c r="K77" s="177" t="s">
        <v>322</v>
      </c>
      <c r="L77" s="184">
        <f>L75-L76</f>
        <v>710275.24816666672</v>
      </c>
    </row>
    <row r="78" spans="1:23" x14ac:dyDescent="0.2">
      <c r="B78" s="110"/>
      <c r="C78" s="110"/>
      <c r="E78" s="153">
        <f t="shared" si="0"/>
        <v>43</v>
      </c>
      <c r="F78" s="153" t="s">
        <v>313</v>
      </c>
      <c r="G78" s="153" t="s">
        <v>38</v>
      </c>
      <c r="H78" s="157" t="s">
        <v>95</v>
      </c>
      <c r="I78" s="179" t="s">
        <v>96</v>
      </c>
      <c r="J78" s="165" t="s">
        <v>491</v>
      </c>
      <c r="K78" s="177" t="s">
        <v>322</v>
      </c>
      <c r="L78" s="185">
        <f>ROUND(Capital_Exclusion_Cents_Per_BOE*L77,2)</f>
        <v>-213082.57</v>
      </c>
    </row>
    <row r="79" spans="1:23" x14ac:dyDescent="0.2">
      <c r="B79" s="110"/>
      <c r="C79" s="110"/>
      <c r="E79" s="153">
        <f t="shared" si="0"/>
        <v>44</v>
      </c>
      <c r="F79" s="153" t="s">
        <v>313</v>
      </c>
      <c r="G79" s="153" t="s">
        <v>38</v>
      </c>
      <c r="H79" s="153" t="s">
        <v>97</v>
      </c>
      <c r="I79" s="154" t="s">
        <v>342</v>
      </c>
      <c r="J79" s="171" t="s">
        <v>492</v>
      </c>
      <c r="K79" s="155" t="s">
        <v>99</v>
      </c>
      <c r="L79" s="160">
        <f>L50+L74+L78</f>
        <v>2386918.8800000004</v>
      </c>
      <c r="N79"/>
    </row>
    <row r="80" spans="1:23" x14ac:dyDescent="0.2">
      <c r="B80" s="110"/>
      <c r="C80" s="110"/>
      <c r="E80" s="153">
        <f t="shared" si="0"/>
        <v>45</v>
      </c>
      <c r="F80" s="153" t="s">
        <v>313</v>
      </c>
      <c r="G80" s="153" t="s">
        <v>38</v>
      </c>
      <c r="H80" s="268" t="s">
        <v>309</v>
      </c>
      <c r="I80" s="172" t="s">
        <v>312</v>
      </c>
      <c r="J80" s="186" t="s">
        <v>429</v>
      </c>
      <c r="K80" s="176" t="s">
        <v>323</v>
      </c>
      <c r="L80" s="187">
        <f>IF(PDMO&lt;MAPA_effective_date,Qualified_Capex_Credit_Rate,0)</f>
        <v>0</v>
      </c>
      <c r="N80"/>
    </row>
    <row r="81" spans="1:23" s="24" customFormat="1" x14ac:dyDescent="0.2">
      <c r="B81" s="110"/>
      <c r="C81" s="110"/>
      <c r="D81" s="25"/>
      <c r="E81" s="153">
        <f t="shared" si="0"/>
        <v>46</v>
      </c>
      <c r="F81" s="153" t="s">
        <v>313</v>
      </c>
      <c r="G81" s="153" t="s">
        <v>38</v>
      </c>
      <c r="H81" s="153" t="s">
        <v>303</v>
      </c>
      <c r="I81" s="178" t="s">
        <v>337</v>
      </c>
      <c r="J81" s="171" t="s">
        <v>440</v>
      </c>
      <c r="K81" s="188" t="s">
        <v>114</v>
      </c>
      <c r="L81" s="189">
        <f>ROUND((1+'AC - Example'!$F$56)^12-1,7)</f>
        <v>8.02263E-2</v>
      </c>
      <c r="M81"/>
      <c r="N81" s="145"/>
      <c r="O81" s="25"/>
      <c r="P81" s="25"/>
      <c r="Q81" s="25"/>
      <c r="R81" s="25"/>
      <c r="S81" s="25"/>
      <c r="T81" s="25"/>
      <c r="U81" s="25"/>
      <c r="V81" s="25"/>
      <c r="W81" s="25"/>
    </row>
    <row r="82" spans="1:23" ht="29.25" thickBot="1" x14ac:dyDescent="0.25">
      <c r="B82" s="112"/>
      <c r="C82" s="112"/>
      <c r="D82" s="24"/>
      <c r="E82" s="153">
        <f t="shared" si="0"/>
        <v>47</v>
      </c>
      <c r="F82" s="153" t="s">
        <v>313</v>
      </c>
      <c r="G82" s="153" t="s">
        <v>38</v>
      </c>
      <c r="H82" s="268" t="s">
        <v>49</v>
      </c>
      <c r="I82" s="154" t="s">
        <v>349</v>
      </c>
      <c r="J82" s="190" t="s">
        <v>509</v>
      </c>
      <c r="K82" s="191" t="s">
        <v>323</v>
      </c>
      <c r="L82" s="156">
        <f>ROUND(-L80*IF(PDMO&lt;ACES_Effective_Date,L79,(0.5*L79+(0.5*L79)/(1+L81))),2)</f>
        <v>0</v>
      </c>
      <c r="N82"/>
    </row>
    <row r="83" spans="1:23" ht="29.25" customHeight="1" thickBot="1" x14ac:dyDescent="0.25">
      <c r="A83" s="311" t="s">
        <v>115</v>
      </c>
      <c r="B83" s="380" t="s">
        <v>331</v>
      </c>
      <c r="C83" s="381"/>
      <c r="D83" s="24"/>
      <c r="E83" s="153">
        <f t="shared" si="0"/>
        <v>48</v>
      </c>
      <c r="F83" s="192" t="s">
        <v>314</v>
      </c>
      <c r="G83" s="153" t="s">
        <v>38</v>
      </c>
      <c r="H83" s="268" t="s">
        <v>308</v>
      </c>
      <c r="I83" s="179" t="s">
        <v>310</v>
      </c>
      <c r="J83" s="190" t="s">
        <v>493</v>
      </c>
      <c r="K83" s="188" t="s">
        <v>118</v>
      </c>
      <c r="L83" s="193">
        <f>IF(PDMO&lt;ACES_Effective_Date,Before_ACES_Loss_Carry_Forward_Cr_Rate,IF(PDMO&lt;MAPA_effective_date,After_ACES_Loss_Carry_Forward_Cr_Rate,After_MAPA_Loss_Carry_Forward_Cr._Rate))</f>
        <v>-0.35</v>
      </c>
      <c r="N83"/>
    </row>
    <row r="84" spans="1:23" s="24" customFormat="1" ht="25.5" x14ac:dyDescent="0.2">
      <c r="B84" s="112"/>
      <c r="C84" s="112"/>
      <c r="D84" s="25"/>
      <c r="E84" s="153">
        <f t="shared" si="0"/>
        <v>49</v>
      </c>
      <c r="F84" s="153" t="s">
        <v>314</v>
      </c>
      <c r="G84" s="153" t="s">
        <v>38</v>
      </c>
      <c r="H84" s="153" t="s">
        <v>116</v>
      </c>
      <c r="I84" s="178" t="s">
        <v>117</v>
      </c>
      <c r="J84" s="294" t="s">
        <v>437</v>
      </c>
      <c r="K84" s="188" t="s">
        <v>118</v>
      </c>
      <c r="L84" s="260">
        <f>IF(OR(L$75&lt;&gt;0,L$37&lt;&gt;0),0,L$73)</f>
        <v>0</v>
      </c>
      <c r="M84"/>
      <c r="N84"/>
      <c r="O84" s="25"/>
      <c r="P84" s="25"/>
      <c r="Q84" s="25"/>
      <c r="R84" s="25"/>
      <c r="S84" s="25"/>
      <c r="T84" s="25"/>
      <c r="U84" s="25"/>
      <c r="V84" s="25"/>
      <c r="W84" s="25"/>
    </row>
    <row r="85" spans="1:23" ht="26.25" thickBot="1" x14ac:dyDescent="0.25">
      <c r="B85" s="110"/>
      <c r="C85" s="110"/>
      <c r="D85" s="44"/>
      <c r="E85" s="153">
        <f t="shared" si="0"/>
        <v>50</v>
      </c>
      <c r="F85" s="153" t="s">
        <v>314</v>
      </c>
      <c r="G85" s="153" t="s">
        <v>38</v>
      </c>
      <c r="H85" s="194" t="s">
        <v>119</v>
      </c>
      <c r="I85" s="178" t="s">
        <v>120</v>
      </c>
      <c r="J85" s="171" t="s">
        <v>512</v>
      </c>
      <c r="K85" s="188" t="s">
        <v>118</v>
      </c>
      <c r="L85" s="156">
        <f>ROUND(L83*L84,2)</f>
        <v>0</v>
      </c>
      <c r="N85"/>
    </row>
    <row r="86" spans="1:23" ht="27" thickBot="1" x14ac:dyDescent="0.3">
      <c r="A86" s="311" t="s">
        <v>121</v>
      </c>
      <c r="B86" s="382" t="s">
        <v>332</v>
      </c>
      <c r="C86" s="383"/>
      <c r="D86" s="45"/>
      <c r="E86" s="153">
        <f t="shared" si="0"/>
        <v>51</v>
      </c>
      <c r="F86" s="153" t="s">
        <v>315</v>
      </c>
      <c r="G86" s="153" t="s">
        <v>38</v>
      </c>
      <c r="H86" s="268" t="s">
        <v>105</v>
      </c>
      <c r="I86" s="195" t="s">
        <v>494</v>
      </c>
      <c r="J86" s="171" t="s">
        <v>428</v>
      </c>
      <c r="K86" s="155" t="s">
        <v>495</v>
      </c>
      <c r="L86" s="156">
        <f>L73</f>
        <v>-70033354.787706062</v>
      </c>
      <c r="N86"/>
    </row>
    <row r="87" spans="1:23" ht="39" x14ac:dyDescent="0.25">
      <c r="B87" s="110"/>
      <c r="C87" s="110"/>
      <c r="D87" s="46"/>
      <c r="E87" s="153">
        <f t="shared" si="0"/>
        <v>52</v>
      </c>
      <c r="F87" s="157" t="s">
        <v>315</v>
      </c>
      <c r="G87" s="157" t="s">
        <v>38</v>
      </c>
      <c r="H87" s="157" t="s">
        <v>112</v>
      </c>
      <c r="I87" s="179" t="s">
        <v>123</v>
      </c>
      <c r="J87" s="176" t="s">
        <v>356</v>
      </c>
      <c r="K87" s="177" t="s">
        <v>165</v>
      </c>
      <c r="L87" s="184">
        <f>L77</f>
        <v>710275.24816666672</v>
      </c>
      <c r="N87"/>
    </row>
    <row r="88" spans="1:23" x14ac:dyDescent="0.2">
      <c r="B88" s="41"/>
      <c r="C88" s="113"/>
      <c r="D88" s="36"/>
      <c r="E88" s="153">
        <f t="shared" si="0"/>
        <v>53</v>
      </c>
      <c r="F88" s="157" t="s">
        <v>315</v>
      </c>
      <c r="G88" s="157" t="s">
        <v>38</v>
      </c>
      <c r="H88" s="196" t="s">
        <v>124</v>
      </c>
      <c r="I88" s="163" t="s">
        <v>125</v>
      </c>
      <c r="J88" s="176" t="s">
        <v>430</v>
      </c>
      <c r="K88" s="177" t="s">
        <v>165</v>
      </c>
      <c r="L88" s="197">
        <f>IF(PDMO&lt;ACES_Effective_Date,Threshold__1_Price_Before_Aces,Threshold__1_Price_After_Aces)</f>
        <v>30</v>
      </c>
      <c r="N88"/>
    </row>
    <row r="89" spans="1:23" s="48" customFormat="1" ht="12" customHeight="1" x14ac:dyDescent="0.2">
      <c r="B89" s="110"/>
      <c r="C89" s="113"/>
      <c r="D89" s="36"/>
      <c r="E89" s="153">
        <f t="shared" si="0"/>
        <v>54</v>
      </c>
      <c r="F89" s="157" t="s">
        <v>315</v>
      </c>
      <c r="G89" s="157" t="s">
        <v>38</v>
      </c>
      <c r="H89" s="196" t="s">
        <v>126</v>
      </c>
      <c r="I89" s="163" t="s">
        <v>338</v>
      </c>
      <c r="J89" s="176" t="s">
        <v>431</v>
      </c>
      <c r="K89" s="177" t="s">
        <v>165</v>
      </c>
      <c r="L89" s="189">
        <f>IF(PDMO&lt;ACES_Effective_Date,Progressive_Increment__1_Before_Aces,Progressive_Increment__1_After_Aces)</f>
        <v>4.0000000000000001E-3</v>
      </c>
      <c r="M89"/>
      <c r="N89"/>
      <c r="O89" s="25"/>
      <c r="P89" s="25"/>
      <c r="Q89" s="25"/>
      <c r="R89" s="25"/>
      <c r="S89" s="25"/>
      <c r="T89" s="25"/>
      <c r="U89" s="25"/>
      <c r="V89" s="25"/>
      <c r="W89" s="25"/>
    </row>
    <row r="90" spans="1:23" s="48" customFormat="1" ht="12" customHeight="1" x14ac:dyDescent="0.2">
      <c r="B90" s="111"/>
      <c r="C90" s="114"/>
      <c r="D90" s="49"/>
      <c r="E90" s="153">
        <f t="shared" si="0"/>
        <v>55</v>
      </c>
      <c r="F90" s="157" t="s">
        <v>315</v>
      </c>
      <c r="G90" s="157" t="s">
        <v>38</v>
      </c>
      <c r="H90" s="196" t="s">
        <v>52</v>
      </c>
      <c r="I90" s="163" t="s">
        <v>127</v>
      </c>
      <c r="J90" s="198">
        <v>92.5</v>
      </c>
      <c r="K90" s="177" t="s">
        <v>165</v>
      </c>
      <c r="L90" s="197">
        <f>Threshold__2_Price_After_Aces</f>
        <v>92.5</v>
      </c>
      <c r="M90"/>
      <c r="N90"/>
      <c r="O90" s="25"/>
      <c r="P90" s="25"/>
      <c r="Q90" s="25"/>
      <c r="R90" s="25"/>
      <c r="S90" s="25"/>
      <c r="T90" s="25"/>
      <c r="U90" s="25"/>
      <c r="V90" s="25"/>
      <c r="W90" s="25"/>
    </row>
    <row r="91" spans="1:23" s="48" customFormat="1" ht="12" customHeight="1" x14ac:dyDescent="0.2">
      <c r="B91" s="111"/>
      <c r="C91" s="114"/>
      <c r="D91" s="49"/>
      <c r="E91" s="153">
        <f t="shared" si="0"/>
        <v>56</v>
      </c>
      <c r="F91" s="157" t="s">
        <v>315</v>
      </c>
      <c r="G91" s="157" t="s">
        <v>38</v>
      </c>
      <c r="H91" s="196" t="s">
        <v>53</v>
      </c>
      <c r="I91" s="163" t="s">
        <v>339</v>
      </c>
      <c r="J91" s="176" t="s">
        <v>432</v>
      </c>
      <c r="K91" s="177" t="s">
        <v>165</v>
      </c>
      <c r="L91" s="189">
        <f>IF(PDMO&lt;ACES_Effective_Date,Progressive_Increment__1_Before_Aces,Progressive_Increment__2_After_Aces)</f>
        <v>1E-3</v>
      </c>
      <c r="M91"/>
      <c r="N91"/>
      <c r="O91" s="25"/>
      <c r="P91" s="25"/>
      <c r="Q91" s="25"/>
      <c r="R91" s="25"/>
      <c r="S91" s="25"/>
      <c r="T91" s="25"/>
      <c r="U91" s="25"/>
      <c r="V91" s="25"/>
      <c r="W91" s="25"/>
    </row>
    <row r="92" spans="1:23" s="48" customFormat="1" ht="12" customHeight="1" x14ac:dyDescent="0.2">
      <c r="B92" s="111"/>
      <c r="C92" s="114"/>
      <c r="D92" s="49"/>
      <c r="E92" s="153">
        <f t="shared" si="0"/>
        <v>57</v>
      </c>
      <c r="F92" s="157" t="s">
        <v>315</v>
      </c>
      <c r="G92" s="157" t="s">
        <v>38</v>
      </c>
      <c r="H92" s="196" t="s">
        <v>304</v>
      </c>
      <c r="I92" s="163" t="s">
        <v>305</v>
      </c>
      <c r="J92" s="176" t="s">
        <v>433</v>
      </c>
      <c r="K92" s="177" t="s">
        <v>165</v>
      </c>
      <c r="L92" s="189">
        <f>IF(PDMO&lt;ACES_Effective_Date,Max_Price_Index_Based_Rate_Before_Aces,Max_Price_Index_Based_Rate_After_Aces)</f>
        <v>0.5</v>
      </c>
      <c r="M92"/>
      <c r="N92"/>
      <c r="O92" s="25"/>
      <c r="P92" s="25"/>
      <c r="Q92" s="25"/>
      <c r="R92" s="25"/>
      <c r="S92" s="25"/>
      <c r="T92" s="25"/>
      <c r="U92" s="25"/>
      <c r="V92" s="25"/>
      <c r="W92" s="25"/>
    </row>
    <row r="93" spans="1:23" x14ac:dyDescent="0.2">
      <c r="B93" s="111"/>
      <c r="C93" s="114"/>
      <c r="D93" s="49"/>
      <c r="E93" s="153">
        <f t="shared" si="0"/>
        <v>58</v>
      </c>
      <c r="F93" s="153" t="s">
        <v>315</v>
      </c>
      <c r="G93" s="199" t="s">
        <v>91</v>
      </c>
      <c r="H93" s="200" t="s">
        <v>128</v>
      </c>
      <c r="I93" s="201" t="s">
        <v>129</v>
      </c>
      <c r="J93" s="202" t="s">
        <v>34</v>
      </c>
      <c r="K93" s="203" t="s">
        <v>324</v>
      </c>
      <c r="L93" s="160">
        <f>'AC - Example'!$G$34</f>
        <v>0</v>
      </c>
      <c r="N93"/>
    </row>
    <row r="94" spans="1:23" x14ac:dyDescent="0.2">
      <c r="B94" s="41"/>
      <c r="C94" s="113"/>
      <c r="D94" s="36"/>
      <c r="E94" s="153">
        <f t="shared" si="0"/>
        <v>59</v>
      </c>
      <c r="F94" s="153" t="s">
        <v>315</v>
      </c>
      <c r="G94" s="199" t="s">
        <v>130</v>
      </c>
      <c r="H94" s="204" t="s">
        <v>131</v>
      </c>
      <c r="I94" s="205" t="s">
        <v>132</v>
      </c>
      <c r="J94" s="188" t="s">
        <v>34</v>
      </c>
      <c r="K94" s="191" t="s">
        <v>324</v>
      </c>
      <c r="L94" s="189">
        <f>'AC - Example'!$F$61</f>
        <v>0.4</v>
      </c>
      <c r="N94"/>
    </row>
    <row r="95" spans="1:23" ht="25.5" x14ac:dyDescent="0.2">
      <c r="B95" s="41"/>
      <c r="C95" s="113"/>
      <c r="D95" s="36"/>
      <c r="E95" s="153">
        <f t="shared" si="0"/>
        <v>60</v>
      </c>
      <c r="F95" s="153" t="s">
        <v>315</v>
      </c>
      <c r="G95" s="153" t="s">
        <v>38</v>
      </c>
      <c r="H95" s="269" t="s">
        <v>133</v>
      </c>
      <c r="I95" s="298" t="s">
        <v>134</v>
      </c>
      <c r="J95" s="266" t="s">
        <v>434</v>
      </c>
      <c r="K95" s="207" t="s">
        <v>325</v>
      </c>
      <c r="L95" s="189">
        <f>IF(PDMO&lt;ACES_Effective_Date,Before_ACES_Section_e__Tax_Rate,IF(PDMO&lt;MAPA_effective_date,After_ACES_Section_e__Tax_Rate,After_MAPA_Section_e__Tax_Rate))</f>
        <v>0.35</v>
      </c>
      <c r="N95"/>
    </row>
    <row r="96" spans="1:23" ht="12" customHeight="1" x14ac:dyDescent="0.2">
      <c r="B96" s="41"/>
      <c r="C96" s="113"/>
      <c r="D96" s="36"/>
      <c r="E96" s="153">
        <f t="shared" si="0"/>
        <v>61</v>
      </c>
      <c r="F96" s="153" t="s">
        <v>315</v>
      </c>
      <c r="G96" s="153" t="s">
        <v>38</v>
      </c>
      <c r="H96" s="269" t="s">
        <v>135</v>
      </c>
      <c r="I96" s="208" t="s">
        <v>136</v>
      </c>
      <c r="J96" s="206" t="s">
        <v>436</v>
      </c>
      <c r="K96" s="191" t="s">
        <v>324</v>
      </c>
      <c r="L96" s="209">
        <f>IF(L36+L43+L46+L55+'AC - Example'!$G34&lt;0,1,0)</f>
        <v>1</v>
      </c>
      <c r="N96"/>
    </row>
    <row r="97" spans="1:23" ht="25.5" x14ac:dyDescent="0.2">
      <c r="B97" s="41"/>
      <c r="C97" s="113"/>
      <c r="D97" s="36"/>
      <c r="E97" s="153">
        <f t="shared" si="0"/>
        <v>62</v>
      </c>
      <c r="F97" s="153" t="s">
        <v>315</v>
      </c>
      <c r="G97" s="153" t="s">
        <v>38</v>
      </c>
      <c r="H97" s="210" t="s">
        <v>137</v>
      </c>
      <c r="I97" s="211" t="s">
        <v>343</v>
      </c>
      <c r="J97" s="212" t="s">
        <v>404</v>
      </c>
      <c r="K97" s="203" t="s">
        <v>324</v>
      </c>
      <c r="L97" s="261">
        <f>ROUND(IF(OR(PDMO&lt;ACES_Effective_Date,L96=0),1,(1-L94)/(1-L95*L94)),7)</f>
        <v>0.69767440000000003</v>
      </c>
      <c r="N97"/>
    </row>
    <row r="98" spans="1:23" ht="25.5" x14ac:dyDescent="0.2">
      <c r="B98" s="41"/>
      <c r="C98" s="113"/>
      <c r="D98" s="36"/>
      <c r="E98" s="153">
        <f t="shared" si="0"/>
        <v>63</v>
      </c>
      <c r="F98" s="153" t="s">
        <v>315</v>
      </c>
      <c r="G98" s="153" t="s">
        <v>38</v>
      </c>
      <c r="H98" s="213" t="s">
        <v>138</v>
      </c>
      <c r="I98" s="214" t="s">
        <v>496</v>
      </c>
      <c r="J98" s="212" t="s">
        <v>497</v>
      </c>
      <c r="K98" s="203" t="s">
        <v>326</v>
      </c>
      <c r="L98" s="160">
        <f>ROUND(IF(L87=0,0,-L$73/(L87/L97)),2)</f>
        <v>68.790000000000006</v>
      </c>
      <c r="N98"/>
    </row>
    <row r="99" spans="1:23" ht="24.75" customHeight="1" x14ac:dyDescent="0.2">
      <c r="B99" s="41"/>
      <c r="C99" s="113"/>
      <c r="D99" s="36"/>
      <c r="E99" s="386">
        <f>E98+1</f>
        <v>64</v>
      </c>
      <c r="F99" s="388" t="s">
        <v>315</v>
      </c>
      <c r="G99" s="388" t="s">
        <v>38</v>
      </c>
      <c r="H99" s="270" t="s">
        <v>139</v>
      </c>
      <c r="I99" s="367" t="s">
        <v>140</v>
      </c>
      <c r="J99" s="215"/>
      <c r="K99" s="405" t="s">
        <v>498</v>
      </c>
      <c r="L99" s="402">
        <f>IF(PDMO&gt;=MAPA_effective_date,0,ROUND(IF(PDMO&lt;ACES_Effective_Date,MIN(Max_Price_Index_Based_Rate_Before_Aces,MAX(0,(L98-L88)*L89)),MIN(Max_Price_Index_Based_Rate_After_Aces,MAX(0,(MIN(L98,L90)-L88)*L89+MAX(0,(L98-L90)*Progressive_Increment__2_After_Aces)))),7))</f>
        <v>0</v>
      </c>
      <c r="N99"/>
    </row>
    <row r="100" spans="1:23" ht="45" customHeight="1" x14ac:dyDescent="0.2">
      <c r="B100" s="41"/>
      <c r="C100" s="113"/>
      <c r="D100" s="36"/>
      <c r="E100" s="387"/>
      <c r="F100" s="388"/>
      <c r="G100" s="388"/>
      <c r="H100" s="391" t="s">
        <v>411</v>
      </c>
      <c r="I100" s="391"/>
      <c r="J100" s="391"/>
      <c r="K100" s="405"/>
      <c r="L100" s="402"/>
      <c r="N100"/>
    </row>
    <row r="101" spans="1:23" ht="26.25" customHeight="1" thickBot="1" x14ac:dyDescent="0.25">
      <c r="B101" s="41"/>
      <c r="C101" s="113"/>
      <c r="D101" s="36"/>
      <c r="E101" s="153">
        <f>E99+1</f>
        <v>65</v>
      </c>
      <c r="F101" s="153" t="s">
        <v>315</v>
      </c>
      <c r="G101" s="153" t="s">
        <v>38</v>
      </c>
      <c r="H101" s="196" t="s">
        <v>141</v>
      </c>
      <c r="I101" s="195" t="s">
        <v>142</v>
      </c>
      <c r="J101" s="212" t="s">
        <v>394</v>
      </c>
      <c r="K101" s="177" t="s">
        <v>165</v>
      </c>
      <c r="L101" s="160">
        <f>-ROUND(L99*L86,2)</f>
        <v>0</v>
      </c>
    </row>
    <row r="102" spans="1:23" ht="32.25" customHeight="1" thickBot="1" x14ac:dyDescent="0.3">
      <c r="A102" s="311" t="s">
        <v>143</v>
      </c>
      <c r="B102" s="378" t="s">
        <v>333</v>
      </c>
      <c r="C102" s="385"/>
      <c r="D102" s="36"/>
      <c r="E102" s="153">
        <f t="shared" si="0"/>
        <v>66</v>
      </c>
      <c r="F102" s="153" t="s">
        <v>316</v>
      </c>
      <c r="G102" s="153" t="s">
        <v>38</v>
      </c>
      <c r="H102" s="264" t="s">
        <v>105</v>
      </c>
      <c r="I102" s="195" t="s">
        <v>144</v>
      </c>
      <c r="J102" s="216" t="str">
        <f>J73</f>
        <v xml:space="preserve"> = NDCPT + TPTD + AGVPOP</v>
      </c>
      <c r="K102" s="155" t="s">
        <v>495</v>
      </c>
      <c r="L102" s="156">
        <f>L73</f>
        <v>-70033354.787706062</v>
      </c>
    </row>
    <row r="103" spans="1:23" ht="29.25" x14ac:dyDescent="0.25">
      <c r="B103"/>
      <c r="C103" s="110"/>
      <c r="D103" s="46"/>
      <c r="E103" s="153">
        <f t="shared" si="0"/>
        <v>67</v>
      </c>
      <c r="F103" s="153" t="s">
        <v>316</v>
      </c>
      <c r="G103" s="153" t="s">
        <v>38</v>
      </c>
      <c r="H103" s="271" t="s">
        <v>146</v>
      </c>
      <c r="I103" s="195" t="s">
        <v>147</v>
      </c>
      <c r="J103" s="313" t="s">
        <v>469</v>
      </c>
      <c r="K103" s="188" t="s">
        <v>87</v>
      </c>
      <c r="L103" s="160">
        <f>ROUND(IF(AND(L$75=0,L$37=0),0,IF(L102&gt;0,0,-L73*L95*L97)),2)</f>
        <v>17101167.57</v>
      </c>
    </row>
    <row r="104" spans="1:23" s="48" customFormat="1" x14ac:dyDescent="0.2">
      <c r="B104"/>
      <c r="C104" s="41"/>
      <c r="D104" s="39"/>
      <c r="E104" s="153">
        <f t="shared" si="0"/>
        <v>68</v>
      </c>
      <c r="F104" s="153" t="s">
        <v>316</v>
      </c>
      <c r="G104" s="153" t="s">
        <v>38</v>
      </c>
      <c r="H104" s="153" t="s">
        <v>148</v>
      </c>
      <c r="I104" s="195" t="s">
        <v>149</v>
      </c>
      <c r="J104" s="171" t="s">
        <v>150</v>
      </c>
      <c r="K104" s="155" t="s">
        <v>464</v>
      </c>
      <c r="L104" s="156">
        <f>L36+L43</f>
        <v>-69375994.74471958</v>
      </c>
      <c r="M104"/>
      <c r="N104" s="25"/>
      <c r="O104" s="25"/>
      <c r="P104" s="25"/>
      <c r="Q104" s="25"/>
      <c r="R104" s="25"/>
      <c r="S104" s="25"/>
      <c r="T104" s="25"/>
      <c r="U104" s="25"/>
      <c r="V104" s="25"/>
      <c r="W104" s="25"/>
    </row>
    <row r="105" spans="1:23" s="48" customFormat="1" ht="25.5" x14ac:dyDescent="0.2">
      <c r="B105"/>
      <c r="C105" s="41"/>
      <c r="D105" s="39"/>
      <c r="E105" s="153">
        <f>E104+1</f>
        <v>69</v>
      </c>
      <c r="F105" s="153" t="s">
        <v>316</v>
      </c>
      <c r="G105" s="153" t="s">
        <v>38</v>
      </c>
      <c r="H105" s="271" t="s">
        <v>403</v>
      </c>
      <c r="I105" s="195" t="s">
        <v>465</v>
      </c>
      <c r="J105" s="165" t="s">
        <v>466</v>
      </c>
      <c r="K105" s="155" t="s">
        <v>499</v>
      </c>
      <c r="L105" s="156">
        <f>(' VV - Example'!H53-' VV - Example'!H54)/(' VV - Example'!F34-' VV - Example'!F37)</f>
        <v>86.695391404142015</v>
      </c>
      <c r="M105" s="316"/>
      <c r="N105" s="25"/>
      <c r="O105" s="25"/>
      <c r="P105" s="25"/>
      <c r="Q105" s="25"/>
      <c r="R105" s="25"/>
      <c r="S105" s="25"/>
      <c r="T105" s="25"/>
      <c r="U105" s="25"/>
      <c r="V105" s="25"/>
      <c r="W105" s="25"/>
    </row>
    <row r="106" spans="1:23" s="48" customFormat="1" ht="12.75" customHeight="1" x14ac:dyDescent="0.2">
      <c r="B106"/>
      <c r="C106" s="41"/>
      <c r="D106" s="39"/>
      <c r="E106" s="386">
        <f>E105+1</f>
        <v>70</v>
      </c>
      <c r="F106" s="388" t="s">
        <v>316</v>
      </c>
      <c r="G106" s="388" t="s">
        <v>38</v>
      </c>
      <c r="H106" s="264" t="s">
        <v>501</v>
      </c>
      <c r="I106" s="315" t="s">
        <v>502</v>
      </c>
      <c r="J106" s="312"/>
      <c r="K106" s="403" t="s">
        <v>499</v>
      </c>
      <c r="L106" s="406">
        <f>IF(PDMO&gt;=MAPA_effective_date,IF(L105&lt;80,8,IF(L105&lt;90,7,IF(L105&lt;100,6,IF(L105&lt;110,5,IF(L105&lt;120,4,IF(L105&lt;130,3,IF(L105&lt;140,2,IF(L105&lt;150,1,0)))))))),0)</f>
        <v>7</v>
      </c>
      <c r="M106" s="145"/>
      <c r="N106" s="25"/>
      <c r="O106" s="25"/>
      <c r="P106" s="25"/>
      <c r="Q106" s="25"/>
      <c r="R106" s="25"/>
      <c r="S106" s="25"/>
      <c r="T106" s="25"/>
      <c r="U106" s="25"/>
      <c r="V106" s="25"/>
      <c r="W106" s="25"/>
    </row>
    <row r="107" spans="1:23" s="48" customFormat="1" ht="39.75" customHeight="1" x14ac:dyDescent="0.2">
      <c r="B107"/>
      <c r="C107" s="41"/>
      <c r="D107" s="39"/>
      <c r="E107" s="387"/>
      <c r="F107" s="388"/>
      <c r="G107" s="388"/>
      <c r="H107" s="408" t="s">
        <v>473</v>
      </c>
      <c r="I107" s="409"/>
      <c r="J107" s="410"/>
      <c r="K107" s="403"/>
      <c r="L107" s="407"/>
      <c r="M107" s="317"/>
      <c r="N107" s="25"/>
      <c r="O107" s="25"/>
      <c r="P107" s="25"/>
      <c r="Q107" s="25"/>
      <c r="R107" s="25"/>
      <c r="S107" s="25"/>
      <c r="T107" s="25"/>
      <c r="U107" s="25"/>
      <c r="V107" s="25"/>
      <c r="W107" s="25"/>
    </row>
    <row r="108" spans="1:23" s="48" customFormat="1" ht="39.75" customHeight="1" x14ac:dyDescent="0.2">
      <c r="B108"/>
      <c r="C108" s="41"/>
      <c r="D108" s="39"/>
      <c r="E108" s="153">
        <f>E106+1</f>
        <v>71</v>
      </c>
      <c r="F108" s="153" t="s">
        <v>316</v>
      </c>
      <c r="G108" s="153" t="s">
        <v>38</v>
      </c>
      <c r="H108" s="264" t="s">
        <v>461</v>
      </c>
      <c r="I108" s="178" t="s">
        <v>460</v>
      </c>
      <c r="J108" s="190" t="s">
        <v>462</v>
      </c>
      <c r="K108" s="413" t="s">
        <v>500</v>
      </c>
      <c r="L108" s="184">
        <f>L59</f>
        <v>710000.10649999999</v>
      </c>
      <c r="M108"/>
      <c r="N108" s="25"/>
      <c r="O108" s="25"/>
      <c r="P108" s="25"/>
      <c r="Q108" s="25"/>
      <c r="R108" s="25"/>
      <c r="S108" s="25"/>
      <c r="T108" s="25"/>
      <c r="U108" s="25"/>
      <c r="V108" s="25"/>
      <c r="W108" s="25"/>
    </row>
    <row r="109" spans="1:23" s="48" customFormat="1" ht="39.75" customHeight="1" x14ac:dyDescent="0.2">
      <c r="B109"/>
      <c r="C109" s="41"/>
      <c r="D109" s="39"/>
      <c r="E109" s="153">
        <f>E108+1</f>
        <v>72</v>
      </c>
      <c r="F109" s="153" t="s">
        <v>316</v>
      </c>
      <c r="G109" s="153" t="s">
        <v>38</v>
      </c>
      <c r="H109" s="264" t="s">
        <v>402</v>
      </c>
      <c r="I109" s="178" t="s">
        <v>476</v>
      </c>
      <c r="J109" s="319" t="s">
        <v>153</v>
      </c>
      <c r="K109" s="414"/>
      <c r="L109" s="318">
        <f>L57</f>
        <v>200000</v>
      </c>
      <c r="M109"/>
      <c r="N109" s="25"/>
      <c r="O109" s="25"/>
      <c r="P109" s="25"/>
      <c r="Q109" s="25"/>
      <c r="R109" s="25"/>
      <c r="S109" s="25"/>
      <c r="T109" s="25"/>
      <c r="U109" s="25"/>
      <c r="V109" s="25"/>
      <c r="W109" s="25"/>
    </row>
    <row r="110" spans="1:23" s="48" customFormat="1" ht="25.5" x14ac:dyDescent="0.2">
      <c r="B110"/>
      <c r="C110" s="41"/>
      <c r="D110" s="39"/>
      <c r="E110" s="153">
        <f>E109+1</f>
        <v>73</v>
      </c>
      <c r="F110" s="153" t="s">
        <v>316</v>
      </c>
      <c r="G110" s="153" t="s">
        <v>38</v>
      </c>
      <c r="H110" s="264" t="s">
        <v>503</v>
      </c>
      <c r="I110" s="178" t="s">
        <v>504</v>
      </c>
      <c r="J110" s="369" t="s">
        <v>554</v>
      </c>
      <c r="K110" s="262" t="s">
        <v>467</v>
      </c>
      <c r="L110" s="156">
        <f xml:space="preserve"> - MIN(L106*(L108-L109),MAX(L116+L121+L111-L115,0))</f>
        <v>-3570000.7455000002</v>
      </c>
      <c r="M110"/>
      <c r="N110"/>
      <c r="O110"/>
      <c r="P110" s="25"/>
      <c r="Q110" s="25"/>
      <c r="R110" s="25"/>
      <c r="S110" s="25"/>
      <c r="T110" s="25"/>
      <c r="U110" s="25"/>
      <c r="V110" s="25"/>
      <c r="W110" s="25"/>
    </row>
    <row r="111" spans="1:23" s="48" customFormat="1" ht="25.5" x14ac:dyDescent="0.2">
      <c r="B111"/>
      <c r="C111" s="41"/>
      <c r="D111" s="39"/>
      <c r="E111" s="153">
        <f>E110+1</f>
        <v>74</v>
      </c>
      <c r="F111" s="153" t="s">
        <v>316</v>
      </c>
      <c r="G111" s="153" t="s">
        <v>38</v>
      </c>
      <c r="H111" s="264" t="s">
        <v>505</v>
      </c>
      <c r="I111" s="178" t="s">
        <v>506</v>
      </c>
      <c r="J111" s="368" t="s">
        <v>553</v>
      </c>
      <c r="K111" s="306" t="s">
        <v>467</v>
      </c>
      <c r="L111" s="156">
        <f>IF(PDMO&gt;=MAPA_effective_date,-DPBGVRO*L109,0)</f>
        <v>-1000000</v>
      </c>
      <c r="M111"/>
      <c r="N111" s="25"/>
      <c r="O111" s="25"/>
      <c r="P111" s="25"/>
      <c r="Q111" s="25"/>
      <c r="R111" s="25"/>
      <c r="S111" s="25"/>
      <c r="T111" s="25"/>
      <c r="U111" s="25"/>
      <c r="V111" s="25"/>
      <c r="W111" s="25"/>
    </row>
    <row r="112" spans="1:23" s="48" customFormat="1" ht="25.5" x14ac:dyDescent="0.2">
      <c r="B112"/>
      <c r="C112" s="41"/>
      <c r="D112" s="39"/>
      <c r="E112" s="153">
        <f>E111+1</f>
        <v>75</v>
      </c>
      <c r="F112" s="153" t="s">
        <v>316</v>
      </c>
      <c r="G112" s="153" t="s">
        <v>38</v>
      </c>
      <c r="H112" s="153" t="s">
        <v>151</v>
      </c>
      <c r="I112" s="195" t="s">
        <v>152</v>
      </c>
      <c r="J112" s="320" t="s">
        <v>370</v>
      </c>
      <c r="K112" s="155" t="s">
        <v>357</v>
      </c>
      <c r="L112" s="134">
        <v>107.3</v>
      </c>
      <c r="M112"/>
      <c r="N112" s="25"/>
      <c r="O112" s="25"/>
      <c r="P112" s="25"/>
      <c r="Q112" s="25"/>
      <c r="R112" s="25"/>
      <c r="S112" s="25"/>
      <c r="T112" s="25"/>
      <c r="U112" s="25"/>
      <c r="V112" s="25"/>
      <c r="W112" s="25"/>
    </row>
    <row r="113" spans="1:23" s="48" customFormat="1" x14ac:dyDescent="0.2">
      <c r="B113"/>
      <c r="C113" s="41"/>
      <c r="D113" s="39"/>
      <c r="E113" s="386">
        <f>E112+1</f>
        <v>76</v>
      </c>
      <c r="F113" s="388" t="s">
        <v>316</v>
      </c>
      <c r="G113" s="388" t="s">
        <v>38</v>
      </c>
      <c r="H113" s="244" t="s">
        <v>154</v>
      </c>
      <c r="I113" s="411" t="s">
        <v>155</v>
      </c>
      <c r="J113" s="412"/>
      <c r="K113" s="403" t="s">
        <v>327</v>
      </c>
      <c r="L113" s="404">
        <f>IF(L112&lt;15,0,IF(L112&lt;17.5,1%,IF(L112&lt;20,2%,IF(L112&lt;25,3%,4%))))</f>
        <v>0.04</v>
      </c>
      <c r="M113"/>
      <c r="N113" s="25"/>
      <c r="O113" s="25"/>
      <c r="P113" s="25"/>
      <c r="Q113" s="25"/>
      <c r="R113" s="25"/>
      <c r="S113" s="25"/>
      <c r="T113" s="25"/>
      <c r="U113" s="25"/>
      <c r="V113" s="25"/>
      <c r="W113" s="25"/>
    </row>
    <row r="114" spans="1:23" ht="24.95" customHeight="1" x14ac:dyDescent="0.2">
      <c r="B114"/>
      <c r="C114" s="111"/>
      <c r="D114" s="50"/>
      <c r="E114" s="387"/>
      <c r="F114" s="388"/>
      <c r="G114" s="388"/>
      <c r="H114" s="399" t="s">
        <v>156</v>
      </c>
      <c r="I114" s="400"/>
      <c r="J114" s="401"/>
      <c r="K114" s="403"/>
      <c r="L114" s="404"/>
    </row>
    <row r="115" spans="1:23" ht="26.25" x14ac:dyDescent="0.25">
      <c r="B115"/>
      <c r="C115" s="41"/>
      <c r="D115" s="39"/>
      <c r="E115" s="153">
        <f>E113+1</f>
        <v>77</v>
      </c>
      <c r="F115" s="153" t="s">
        <v>316</v>
      </c>
      <c r="G115" s="153" t="s">
        <v>38</v>
      </c>
      <c r="H115" s="166" t="s">
        <v>157</v>
      </c>
      <c r="I115" s="178" t="s">
        <v>158</v>
      </c>
      <c r="J115" s="217" t="s">
        <v>439</v>
      </c>
      <c r="K115" s="398" t="s">
        <v>498</v>
      </c>
      <c r="L115" s="160">
        <f>IF(L104&gt;0,0,ROUND(- L104*L113,2))</f>
        <v>2775039.79</v>
      </c>
    </row>
    <row r="116" spans="1:23" ht="31.5" customHeight="1" thickBot="1" x14ac:dyDescent="0.25">
      <c r="B116"/>
      <c r="C116" s="41"/>
      <c r="D116" s="39"/>
      <c r="E116" s="153">
        <f>E115+1</f>
        <v>78</v>
      </c>
      <c r="F116" s="153" t="s">
        <v>316</v>
      </c>
      <c r="G116" s="153" t="s">
        <v>38</v>
      </c>
      <c r="H116" s="264" t="s">
        <v>340</v>
      </c>
      <c r="I116" s="214" t="s">
        <v>521</v>
      </c>
      <c r="J116" s="217" t="s">
        <v>474</v>
      </c>
      <c r="K116" s="398"/>
      <c r="L116" s="160">
        <f>MAX(L103+L101,L115)</f>
        <v>17101167.57</v>
      </c>
    </row>
    <row r="117" spans="1:23" ht="16.5" thickBot="1" x14ac:dyDescent="0.3">
      <c r="A117" s="311" t="s">
        <v>334</v>
      </c>
      <c r="B117" s="378" t="s">
        <v>335</v>
      </c>
      <c r="C117" s="385"/>
      <c r="D117" s="46"/>
      <c r="E117" s="153">
        <f>E116+1</f>
        <v>79</v>
      </c>
      <c r="F117" s="153" t="s">
        <v>159</v>
      </c>
      <c r="G117" s="153" t="s">
        <v>38</v>
      </c>
      <c r="H117" s="153" t="s">
        <v>160</v>
      </c>
      <c r="I117" s="218" t="s">
        <v>161</v>
      </c>
      <c r="J117" s="219"/>
      <c r="K117" s="219"/>
      <c r="L117" s="220">
        <f>EOMONTH(PDMO,0)-PDMO+1</f>
        <v>31</v>
      </c>
    </row>
    <row r="118" spans="1:23" ht="24" customHeight="1" x14ac:dyDescent="0.2">
      <c r="B118" s="41"/>
      <c r="C118" s="41"/>
      <c r="D118" s="39"/>
      <c r="E118" s="153">
        <f t="shared" ref="E118:E125" si="2">E117+1</f>
        <v>80</v>
      </c>
      <c r="F118" s="153" t="s">
        <v>159</v>
      </c>
      <c r="G118" s="153" t="s">
        <v>38</v>
      </c>
      <c r="H118" s="213" t="s">
        <v>162</v>
      </c>
      <c r="I118" s="218" t="s">
        <v>371</v>
      </c>
      <c r="J118" s="319" t="s">
        <v>153</v>
      </c>
      <c r="K118" s="221" t="s">
        <v>358</v>
      </c>
      <c r="L118" s="107">
        <v>90000.25</v>
      </c>
    </row>
    <row r="119" spans="1:23" ht="49.5" x14ac:dyDescent="0.2">
      <c r="B119" s="41"/>
      <c r="C119" s="41"/>
      <c r="D119" s="39"/>
      <c r="E119" s="153">
        <f t="shared" si="2"/>
        <v>81</v>
      </c>
      <c r="F119" s="153" t="s">
        <v>159</v>
      </c>
      <c r="G119" s="153" t="s">
        <v>38</v>
      </c>
      <c r="H119" s="213" t="s">
        <v>163</v>
      </c>
      <c r="I119" s="222" t="s">
        <v>164</v>
      </c>
      <c r="J119" s="223" t="s">
        <v>472</v>
      </c>
      <c r="K119" s="177" t="s">
        <v>145</v>
      </c>
      <c r="L119" s="156">
        <f>IF(L118=0,0,-1*ROUND(IF(L118&lt;50000,1000000,IF(L118&gt;100000,0,1000000*(1-(2*(L118-50000)/100000)))),2))</f>
        <v>-199995</v>
      </c>
      <c r="N119" s="144"/>
      <c r="O119" s="144"/>
    </row>
    <row r="120" spans="1:23" ht="39" customHeight="1" x14ac:dyDescent="0.2">
      <c r="B120" s="41"/>
      <c r="C120" s="41"/>
      <c r="D120" s="39"/>
      <c r="E120" s="153">
        <f t="shared" si="2"/>
        <v>82</v>
      </c>
      <c r="F120" s="153" t="s">
        <v>159</v>
      </c>
      <c r="G120" s="153" t="s">
        <v>38</v>
      </c>
      <c r="H120" s="213" t="s">
        <v>166</v>
      </c>
      <c r="I120" s="224" t="s">
        <v>372</v>
      </c>
      <c r="J120" s="225" t="s">
        <v>167</v>
      </c>
      <c r="K120" s="155" t="s">
        <v>145</v>
      </c>
      <c r="L120" s="184">
        <f>ROUND(L77/L117,2)</f>
        <v>22912.1</v>
      </c>
    </row>
    <row r="121" spans="1:23" ht="57.75" thickBot="1" x14ac:dyDescent="0.25">
      <c r="B121" s="41"/>
      <c r="C121" s="41"/>
      <c r="D121" s="39"/>
      <c r="E121" s="153">
        <f t="shared" si="2"/>
        <v>83</v>
      </c>
      <c r="F121" s="153" t="s">
        <v>159</v>
      </c>
      <c r="G121" s="153" t="s">
        <v>38</v>
      </c>
      <c r="H121" s="213" t="s">
        <v>168</v>
      </c>
      <c r="I121" s="222" t="s">
        <v>169</v>
      </c>
      <c r="J121" s="226" t="s">
        <v>438</v>
      </c>
      <c r="K121" s="177" t="s">
        <v>145</v>
      </c>
      <c r="L121" s="156">
        <f>ROUND(IF(L119=0,0,IF(AND(PDMO&gt;ACES_Effective_Date,L115&gt;L103+L101),0,-MIN(IF(PDMO&lt;ACES_Effective_Date,L103,L103+L101),-L119*(L120/L118)))),2)</f>
        <v>-50914.36</v>
      </c>
      <c r="N121" s="24"/>
    </row>
    <row r="122" spans="1:23" ht="16.5" thickBot="1" x14ac:dyDescent="0.3">
      <c r="A122" s="311" t="s">
        <v>170</v>
      </c>
      <c r="B122" s="378" t="s">
        <v>341</v>
      </c>
      <c r="C122" s="385"/>
      <c r="D122" s="39"/>
      <c r="E122" s="153">
        <f t="shared" si="2"/>
        <v>84</v>
      </c>
      <c r="F122" s="157" t="s">
        <v>328</v>
      </c>
      <c r="G122" s="157" t="s">
        <v>38</v>
      </c>
      <c r="H122" s="270" t="s">
        <v>172</v>
      </c>
      <c r="I122" s="222" t="s">
        <v>171</v>
      </c>
      <c r="J122" s="227" t="s">
        <v>507</v>
      </c>
      <c r="K122" s="155" t="s">
        <v>498</v>
      </c>
      <c r="L122" s="160">
        <f>L116+L121+L111+L110</f>
        <v>12480252.464500001</v>
      </c>
    </row>
    <row r="123" spans="1:23" ht="32.25" customHeight="1" thickBot="1" x14ac:dyDescent="0.3">
      <c r="A123" s="311" t="s">
        <v>173</v>
      </c>
      <c r="B123" s="378" t="s">
        <v>392</v>
      </c>
      <c r="C123" s="385"/>
      <c r="D123" s="42"/>
      <c r="E123" s="153">
        <f t="shared" si="2"/>
        <v>85</v>
      </c>
      <c r="F123" s="153" t="s">
        <v>317</v>
      </c>
      <c r="G123" s="153" t="s">
        <v>38</v>
      </c>
      <c r="H123" s="166" t="s">
        <v>174</v>
      </c>
      <c r="I123" s="222" t="s">
        <v>175</v>
      </c>
      <c r="J123" s="313" t="s">
        <v>471</v>
      </c>
      <c r="K123" s="188" t="s">
        <v>475</v>
      </c>
      <c r="L123" s="260">
        <f>IF(OR(L$75&lt;&gt;0,L$37&lt;&gt;0),IF(L$73&gt;0,L$73,0),0)</f>
        <v>0</v>
      </c>
    </row>
    <row r="124" spans="1:23" ht="32.25" thickBot="1" x14ac:dyDescent="0.3">
      <c r="B124" s="110"/>
      <c r="C124" s="110"/>
      <c r="D124" s="42"/>
      <c r="E124" s="153">
        <f t="shared" si="2"/>
        <v>86</v>
      </c>
      <c r="F124" s="153" t="s">
        <v>317</v>
      </c>
      <c r="G124" s="153" t="s">
        <v>38</v>
      </c>
      <c r="H124" s="264" t="s">
        <v>176</v>
      </c>
      <c r="I124" s="222" t="s">
        <v>177</v>
      </c>
      <c r="J124" s="313" t="s">
        <v>470</v>
      </c>
      <c r="K124" s="177" t="s">
        <v>475</v>
      </c>
      <c r="L124" s="156">
        <f>ROUND(IF(PDMO&lt;ACES_Effective_Date,Before_ACES_Loss_Carry_Forward_Cr_Rate,IF(PDMO&lt;MAPA_effective_date,After_ACES_Loss_Carry_Forward_Cr_Rate,After_MAPA_Loss_Carry_Forward_Cr._Rate))*(L123),2)</f>
        <v>0</v>
      </c>
      <c r="N124" s="24"/>
      <c r="O124" s="24"/>
      <c r="P124" s="24"/>
      <c r="Q124" s="24"/>
      <c r="R124" s="24"/>
      <c r="S124" s="24"/>
      <c r="T124" s="145"/>
      <c r="U124" s="24"/>
    </row>
    <row r="125" spans="1:23" ht="31.5" customHeight="1" thickBot="1" x14ac:dyDescent="0.3">
      <c r="A125" s="311" t="s">
        <v>178</v>
      </c>
      <c r="B125" s="378" t="s">
        <v>336</v>
      </c>
      <c r="C125" s="385"/>
      <c r="D125" s="45"/>
      <c r="E125" s="153">
        <f t="shared" si="2"/>
        <v>87</v>
      </c>
      <c r="F125" s="157" t="s">
        <v>318</v>
      </c>
      <c r="G125" s="157" t="s">
        <v>38</v>
      </c>
      <c r="H125" s="153" t="s">
        <v>179</v>
      </c>
      <c r="I125" s="229" t="s">
        <v>180</v>
      </c>
      <c r="J125" s="228" t="s">
        <v>181</v>
      </c>
      <c r="K125" s="216" t="s">
        <v>182</v>
      </c>
      <c r="L125" s="156">
        <f>L82+L85</f>
        <v>0</v>
      </c>
    </row>
    <row r="126" spans="1:23" ht="15.75" x14ac:dyDescent="0.25">
      <c r="B126" s="110"/>
      <c r="C126" s="110"/>
      <c r="D126" s="42"/>
      <c r="H126" s="47"/>
      <c r="I126" s="47"/>
      <c r="J126" s="47"/>
      <c r="K126" s="47"/>
      <c r="L126" s="47"/>
    </row>
    <row r="127" spans="1:23" ht="13.5" thickBot="1" x14ac:dyDescent="0.25">
      <c r="B127" s="45"/>
      <c r="C127" s="45"/>
      <c r="D127" s="45"/>
    </row>
    <row r="128" spans="1:23" ht="15.75" x14ac:dyDescent="0.25">
      <c r="B128" s="45"/>
      <c r="C128" s="45"/>
      <c r="D128" s="45"/>
      <c r="E128" s="325" t="s">
        <v>247</v>
      </c>
      <c r="F128" s="326"/>
      <c r="G128" s="327"/>
      <c r="H128" s="327"/>
      <c r="I128" s="327"/>
      <c r="J128" s="328"/>
    </row>
    <row r="129" spans="2:11" x14ac:dyDescent="0.2">
      <c r="B129" s="45"/>
      <c r="C129" s="45"/>
      <c r="D129" s="45"/>
      <c r="E129" s="329"/>
      <c r="F129" s="78"/>
      <c r="G129" s="78"/>
      <c r="H129" s="78"/>
      <c r="I129" s="78"/>
      <c r="J129" s="330"/>
    </row>
    <row r="130" spans="2:11" x14ac:dyDescent="0.2">
      <c r="B130" s="45"/>
      <c r="C130" s="38"/>
      <c r="D130" s="38"/>
      <c r="E130" s="332" t="s">
        <v>511</v>
      </c>
      <c r="F130" s="324"/>
      <c r="G130" s="324"/>
      <c r="H130" s="324"/>
      <c r="I130" s="324"/>
      <c r="J130" s="331"/>
    </row>
    <row r="131" spans="2:11" ht="13.5" thickBot="1" x14ac:dyDescent="0.25">
      <c r="B131" s="45"/>
      <c r="C131" s="45"/>
      <c r="D131" s="45"/>
      <c r="E131" s="333" t="s">
        <v>510</v>
      </c>
      <c r="F131" s="334"/>
      <c r="G131" s="334"/>
      <c r="H131" s="334"/>
      <c r="I131" s="335"/>
      <c r="J131" s="336"/>
    </row>
    <row r="132" spans="2:11" x14ac:dyDescent="0.2">
      <c r="B132" s="45"/>
      <c r="C132" s="45"/>
      <c r="D132" s="45"/>
      <c r="E132"/>
      <c r="F132"/>
      <c r="G132"/>
      <c r="H132"/>
      <c r="I132"/>
      <c r="J132"/>
      <c r="K132"/>
    </row>
    <row r="133" spans="2:11" x14ac:dyDescent="0.2">
      <c r="B133" s="45"/>
      <c r="C133" s="45"/>
      <c r="D133" s="45"/>
      <c r="E133"/>
      <c r="F133"/>
      <c r="G133"/>
      <c r="H133"/>
      <c r="I133"/>
      <c r="J133"/>
      <c r="K133"/>
    </row>
    <row r="134" spans="2:11" x14ac:dyDescent="0.2">
      <c r="B134" s="45"/>
      <c r="C134" s="45"/>
      <c r="D134" s="45"/>
    </row>
    <row r="135" spans="2:11" x14ac:dyDescent="0.2">
      <c r="B135" s="45"/>
      <c r="C135" s="45"/>
      <c r="D135" s="45"/>
    </row>
    <row r="136" spans="2:11" x14ac:dyDescent="0.2">
      <c r="B136" s="45"/>
      <c r="C136" s="45"/>
      <c r="D136" s="45"/>
    </row>
    <row r="137" spans="2:11" x14ac:dyDescent="0.2">
      <c r="B137" s="45"/>
      <c r="C137" s="45"/>
      <c r="D137" s="45"/>
    </row>
    <row r="138" spans="2:11" x14ac:dyDescent="0.2">
      <c r="B138" s="45"/>
      <c r="C138" s="45"/>
      <c r="D138" s="45"/>
    </row>
    <row r="139" spans="2:11" x14ac:dyDescent="0.2">
      <c r="B139" s="45"/>
      <c r="C139" s="45"/>
      <c r="D139" s="45"/>
    </row>
    <row r="140" spans="2:11" x14ac:dyDescent="0.2">
      <c r="B140" s="45"/>
      <c r="C140" s="45"/>
      <c r="D140" s="45"/>
    </row>
    <row r="141" spans="2:11" x14ac:dyDescent="0.2">
      <c r="B141" s="45"/>
      <c r="C141" s="45"/>
      <c r="D141" s="45"/>
    </row>
    <row r="142" spans="2:11" x14ac:dyDescent="0.2">
      <c r="B142" s="45"/>
      <c r="C142" s="45"/>
      <c r="D142" s="45"/>
    </row>
    <row r="143" spans="2:11" x14ac:dyDescent="0.2">
      <c r="B143" s="45"/>
      <c r="C143" s="45"/>
      <c r="D143" s="45"/>
    </row>
    <row r="144" spans="2:11" x14ac:dyDescent="0.2">
      <c r="B144" s="37"/>
      <c r="C144" s="38"/>
      <c r="D144" s="38"/>
    </row>
    <row r="145" spans="2:4" x14ac:dyDescent="0.2">
      <c r="B145" s="45"/>
      <c r="C145" s="45"/>
      <c r="D145" s="45"/>
    </row>
    <row r="146" spans="2:4" x14ac:dyDescent="0.2">
      <c r="B146" s="45"/>
      <c r="C146" s="45"/>
      <c r="D146" s="45"/>
    </row>
    <row r="147" spans="2:4" x14ac:dyDescent="0.2">
      <c r="B147" s="45"/>
      <c r="C147" s="45"/>
      <c r="D147" s="45"/>
    </row>
    <row r="148" spans="2:4" x14ac:dyDescent="0.2">
      <c r="B148" s="45"/>
      <c r="C148" s="45"/>
      <c r="D148" s="45"/>
    </row>
    <row r="149" spans="2:4" x14ac:dyDescent="0.2">
      <c r="B149" s="45"/>
      <c r="C149" s="45"/>
      <c r="D149" s="45"/>
    </row>
    <row r="150" spans="2:4" x14ac:dyDescent="0.2">
      <c r="B150" s="45"/>
      <c r="C150" s="45"/>
      <c r="D150" s="45"/>
    </row>
    <row r="151" spans="2:4" x14ac:dyDescent="0.2">
      <c r="B151" s="45"/>
      <c r="C151" s="45"/>
      <c r="D151" s="45"/>
    </row>
    <row r="152" spans="2:4" x14ac:dyDescent="0.2">
      <c r="B152" s="45"/>
      <c r="C152" s="45"/>
      <c r="D152" s="45"/>
    </row>
  </sheetData>
  <mergeCells count="36">
    <mergeCell ref="K115:K116"/>
    <mergeCell ref="H114:J114"/>
    <mergeCell ref="L99:L100"/>
    <mergeCell ref="F113:F114"/>
    <mergeCell ref="G113:G114"/>
    <mergeCell ref="K113:K114"/>
    <mergeCell ref="L113:L114"/>
    <mergeCell ref="K99:K100"/>
    <mergeCell ref="K106:K107"/>
    <mergeCell ref="L106:L107"/>
    <mergeCell ref="H107:J107"/>
    <mergeCell ref="I113:J113"/>
    <mergeCell ref="K108:K109"/>
    <mergeCell ref="D18:D19"/>
    <mergeCell ref="D20:D21"/>
    <mergeCell ref="H100:J100"/>
    <mergeCell ref="D10:D12"/>
    <mergeCell ref="D7:D9"/>
    <mergeCell ref="B123:C123"/>
    <mergeCell ref="B125:C125"/>
    <mergeCell ref="E99:E100"/>
    <mergeCell ref="F99:F100"/>
    <mergeCell ref="G99:G100"/>
    <mergeCell ref="B102:C102"/>
    <mergeCell ref="B117:C117"/>
    <mergeCell ref="B122:C122"/>
    <mergeCell ref="F106:F107"/>
    <mergeCell ref="G106:G107"/>
    <mergeCell ref="E106:E107"/>
    <mergeCell ref="E113:E114"/>
    <mergeCell ref="B73:C73"/>
    <mergeCell ref="B74:C74"/>
    <mergeCell ref="B83:C83"/>
    <mergeCell ref="B86:C86"/>
    <mergeCell ref="D24:D25"/>
    <mergeCell ref="B36:C36"/>
  </mergeCells>
  <printOptions horizontalCentered="1" verticalCentered="1"/>
  <pageMargins left="0" right="0" top="0.25" bottom="0.25" header="0.1" footer="0"/>
  <pageSetup scale="42" fitToHeight="2" orientation="landscape" r:id="rId1"/>
  <headerFooter differentFirst="1">
    <oddFooter>&amp;L&amp;"Calibri,Bold"&amp;6Filename: &amp;F</oddFooter>
  </headerFooter>
  <ignoredErrors>
    <ignoredError sqref="I4:I3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78BC33-D237-4A83-8FF2-90A06A9B64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77F7B72-C718-4731-8B9F-CF1A3EC6783E}">
  <ds:schemaRefs>
    <ds:schemaRef ds:uri="http://schemas.microsoft.com/office/2006/metadata/propertie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481F044-B20A-44D1-B13D-AB0FFF3EAF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35</vt:i4>
      </vt:variant>
    </vt:vector>
  </HeadingPairs>
  <TitlesOfParts>
    <vt:vector size="42" baseType="lpstr">
      <vt:lpstr>READ ME FIRST</vt:lpstr>
      <vt:lpstr>VV-Master</vt:lpstr>
      <vt:lpstr> VV - Example</vt:lpstr>
      <vt:lpstr>AC-Master</vt:lpstr>
      <vt:lpstr>AC - Example</vt:lpstr>
      <vt:lpstr>PT-Master</vt:lpstr>
      <vt:lpstr>PT-Example </vt:lpstr>
      <vt:lpstr>ACES_Effective_Date</vt:lpstr>
      <vt:lpstr>Adjustment_Factor_2007</vt:lpstr>
      <vt:lpstr>Adjustment_Factor_2008</vt:lpstr>
      <vt:lpstr>Adjustment_Factor_2009</vt:lpstr>
      <vt:lpstr>After_ACES_Loss_Carry_Forward_Cr_Rate</vt:lpstr>
      <vt:lpstr>After_ACES_Section_e__Tax_Rate</vt:lpstr>
      <vt:lpstr>After_MAPA_Loss_Carry_Forward_Cr._Rate</vt:lpstr>
      <vt:lpstr>After_MAPA_Section_e__Tax_Rate</vt:lpstr>
      <vt:lpstr>Before_ACES_Loss_Carry_Forward_Cr_Rate</vt:lpstr>
      <vt:lpstr>Before_ACES_Section_e__Tax_Rate</vt:lpstr>
      <vt:lpstr>Capital_Exclusion_Cents_Per_BOE</vt:lpstr>
      <vt:lpstr>DPBGVRO</vt:lpstr>
      <vt:lpstr>End_date_for_cap</vt:lpstr>
      <vt:lpstr>GVRO</vt:lpstr>
      <vt:lpstr>HRGVRO</vt:lpstr>
      <vt:lpstr>MAPA_effective_date</vt:lpstr>
      <vt:lpstr>Max_Price_Index_Based_Rate_After_Aces</vt:lpstr>
      <vt:lpstr>Max_Price_Index_Based_Rate_Before_Aces</vt:lpstr>
      <vt:lpstr>Overhead_For_Capex</vt:lpstr>
      <vt:lpstr>Overhead_For_Opex</vt:lpstr>
      <vt:lpstr>PDMO</vt:lpstr>
      <vt:lpstr>' VV - Example'!Print_Area</vt:lpstr>
      <vt:lpstr>'AC - Example'!Print_Area</vt:lpstr>
      <vt:lpstr>'PT-Example '!Print_Area</vt:lpstr>
      <vt:lpstr>'PT-Master'!Print_Area</vt:lpstr>
      <vt:lpstr>Progressive_Increment__1_After_Aces</vt:lpstr>
      <vt:lpstr>Progressive_Increment__1_Before_Aces</vt:lpstr>
      <vt:lpstr>Progressive_Increment__2_After_Aces</vt:lpstr>
      <vt:lpstr>Qualified_Capex_Credit_Rate</vt:lpstr>
      <vt:lpstr>Start_date_for_2nd_year_of_adjustment_2008</vt:lpstr>
      <vt:lpstr>Start_date_for_3nd_year_of_adjustment_2009</vt:lpstr>
      <vt:lpstr>Start_date_for_adjustment_2007</vt:lpstr>
      <vt:lpstr>Threshold__1_Price_After_Aces</vt:lpstr>
      <vt:lpstr>Threshold__1_Price_Before_Aces</vt:lpstr>
      <vt:lpstr>Threshold__2_Price_After_Aces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dc:creator>
  <cp:lastModifiedBy>Bidwell, Gregory E (DNR)</cp:lastModifiedBy>
  <cp:lastPrinted>2013-09-04T20:51:12Z</cp:lastPrinted>
  <dcterms:created xsi:type="dcterms:W3CDTF">2004-09-30T20:23:44Z</dcterms:created>
  <dcterms:modified xsi:type="dcterms:W3CDTF">2013-09-04T21:44:30Z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_Owner}">
    <vt:lpwstr>cssadmin</vt:lpwstr>
  </property>
  <property fmtid="{D5CDD505-2E9C-101B-9397-08002B2CF9AE}" pid="3" name="{DLP_CreatedBy}">
    <vt:lpwstr>jtkatsoris</vt:lpwstr>
  </property>
  <property fmtid="{D5CDD505-2E9C-101B-9397-08002B2CF9AE}" pid="4" name="{DLP_CreatedOn}">
    <vt:lpwstr>11/08/2018 11:35:36 AM</vt:lpwstr>
  </property>
  <property fmtid="{D5CDD505-2E9C-101B-9397-08002B2CF9AE}" pid="5" name="{DLP_Description}">
    <vt:lpwstr/>
  </property>
  <property fmtid="{D5CDD505-2E9C-101B-9397-08002B2CF9AE}" pid="6" name="{DLP_VersionNotes}">
    <vt:lpwstr/>
  </property>
  <property fmtid="{D5CDD505-2E9C-101B-9397-08002B2CF9AE}" pid="7" name="{DLP_VersionID}">
    <vt:lpwstr>1</vt:lpwstr>
  </property>
  <property fmtid="{D5CDD505-2E9C-101B-9397-08002B2CF9AE}" pid="8" name="{DLP_MinorID}">
    <vt:lpwstr>0</vt:lpwstr>
  </property>
  <property fmtid="{D5CDD505-2E9C-101B-9397-08002B2CF9AE}" pid="9" name="{DLP_Path}">
    <vt:lpwstr>DOG_Dev\Documents\PublicWebsite\Document Library\Commercial\</vt:lpwstr>
  </property>
  <property fmtid="{D5CDD505-2E9C-101B-9397-08002B2CF9AE}" pid="10" name="{DLP_ParentFolder}">
    <vt:lpwstr>C8DDBB6D-A5DD-474F-9FFA-3119DA55A8C5</vt:lpwstr>
  </property>
  <property fmtid="{D5CDD505-2E9C-101B-9397-08002B2CF9AE}" pid="11" name="{DLP_ObjectID}">
    <vt:lpwstr>BCAFE26E83574C3EA0B168A6F8981FC6</vt:lpwstr>
  </property>
  <property fmtid="{D5CDD505-2E9C-101B-9397-08002B2CF9AE}" pid="12" name="{DLP_FileName}">
    <vt:lpwstr>2017-05-11__20170214-ChangesToNPSLRegulations-NPSLReportTemplates (1).xlsx</vt:lpwstr>
  </property>
  <property fmtid="{D5CDD505-2E9C-101B-9397-08002B2CF9AE}" pid="13" name="{DLP_Extension}">
    <vt:lpwstr>.xlsx</vt:lpwstr>
  </property>
  <property fmtid="{D5CDD505-2E9C-101B-9397-08002B2CF9AE}" pid="14" name="{DLP_Profile}">
    <vt:lpwstr>Public Website</vt:lpwstr>
  </property>
  <property fmtid="{D5CDD505-2E9C-101B-9397-08002B2CF9AE}" pid="15" name="{DLPP_Document Date}">
    <vt:lpwstr>05/11/2017</vt:lpwstr>
  </property>
  <property fmtid="{D5CDD505-2E9C-101B-9397-08002B2CF9AE}" pid="16" name="{DLPP_DOG Section}">
    <vt:lpwstr>Commercial</vt:lpwstr>
  </property>
  <property fmtid="{D5CDD505-2E9C-101B-9397-08002B2CF9AE}" pid="17" name="{DLPP_Website Title}">
    <vt:lpwstr>20170214-ChangesToNPSLRegulations-NPSLReportTemplates</vt:lpwstr>
  </property>
  <property fmtid="{D5CDD505-2E9C-101B-9397-08002B2CF9AE}" pid="18" name="{DLPP_Website Pages}">
    <vt:lpwstr>Document Library</vt:lpwstr>
  </property>
  <property fmtid="{D5CDD505-2E9C-101B-9397-08002B2CF9AE}" pid="19" name="{DLPP_Profile Document Type}">
    <vt:lpwstr/>
  </property>
  <property fmtid="{D5CDD505-2E9C-101B-9397-08002B2CF9AE}" pid="20" name="{DLPP_Website Profile Process}">
    <vt:lpwstr/>
  </property>
  <property fmtid="{D5CDD505-2E9C-101B-9397-08002B2CF9AE}" pid="21" name="{DLPP_Region Name DOGByte}">
    <vt:lpwstr/>
  </property>
  <property fmtid="{D5CDD505-2E9C-101B-9397-08002B2CF9AE}" pid="22" name="{DLPP_Unit DOGByte}">
    <vt:lpwstr/>
  </property>
  <property fmtid="{D5CDD505-2E9C-101B-9397-08002B2CF9AE}" pid="23" name="{DLPP_ADL Number}">
    <vt:lpwstr/>
  </property>
  <property fmtid="{D5CDD505-2E9C-101B-9397-08002B2CF9AE}" pid="24" name="{DLPP_Pipeline}">
    <vt:lpwstr/>
  </property>
</Properties>
</file>