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irector\Secure\Regulations\NPSL\2017\"/>
    </mc:Choice>
  </mc:AlternateContent>
  <bookViews>
    <workbookView xWindow="-48" yWindow="-36" windowWidth="25080" windowHeight="12408" activeTab="4"/>
  </bookViews>
  <sheets>
    <sheet name="READ ME FIRST" sheetId="16" r:id="rId1"/>
    <sheet name=" VV-Example ABC" sheetId="12" r:id="rId2"/>
    <sheet name=" VV-Example DEF" sheetId="15" r:id="rId3"/>
    <sheet name="AC-Example" sheetId="11" r:id="rId4"/>
    <sheet name="PT-Example " sheetId="10" r:id="rId5"/>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CES_Effective_Date">'PT-Example '!$K$13</definedName>
    <definedName name="Adjustment_Factor_2007">'PT-Example '!$K$26</definedName>
    <definedName name="Adjustment_Factor_2008">'PT-Example '!$K$27</definedName>
    <definedName name="Adjustment_Factor_2009">'PT-Example '!$K$28</definedName>
    <definedName name="After_ACES_Loss_Carry_Forward_Cr_Rate">'PT-Example '!$K$8</definedName>
    <definedName name="After_ACES_Section_e__Tax_Rate">'PT-Example '!$K$11</definedName>
    <definedName name="After_MAPA_Loss_Carry_Forward_Cr._Rate">'PT-Example '!$K$9</definedName>
    <definedName name="After_MAPA_Section_e__Tax_Rate">'PT-Example '!$K$12</definedName>
    <definedName name="Before_ACES_Loss_Carry_Forward_Cr_Rate">'PT-Example '!$K$7</definedName>
    <definedName name="Before_ACES_Section_e__Tax_Rate">'PT-Example '!$K$10</definedName>
    <definedName name="Capital_Exclusion_Cents_Per_BOE">'PT-Example '!$K$5</definedName>
    <definedName name="DBGVR">'PT-Example '!$K$25</definedName>
    <definedName name="End_date_for_cap">'PT-Example '!$K$32</definedName>
    <definedName name="GVRR">'PT-Example '!$K$16</definedName>
    <definedName name="HB247_Effective_Date">'PT-Example '!$K$15</definedName>
    <definedName name="MAPA_effective_date">'PT-Example '!$K$14</definedName>
    <definedName name="Max_Price_Index_Based_Rate_After_Aces">'PT-Example '!$K$24</definedName>
    <definedName name="Max_Price_Index_Based_Rate_Before_Aces">'PT-Example '!$K$23</definedName>
    <definedName name="Overhead_For_Capex">'PT-Example '!$K$4</definedName>
    <definedName name="Overhead_For_Opex">'PT-Example '!$K$3</definedName>
    <definedName name="Pal_Workbook_GUID" hidden="1">"5DQLG9UDPTE1RY7JLPNSGEWL"</definedName>
    <definedName name="PDMO">'PT-Example '!$F$7</definedName>
    <definedName name="_xlnm.Print_Area" localSheetId="1">' VV-Example ABC'!$A$1:$K$82</definedName>
    <definedName name="_xlnm.Print_Area" localSheetId="2">' VV-Example DEF'!$A$1:$K$82</definedName>
    <definedName name="_xlnm.Print_Area" localSheetId="3">'AC-Example'!$A$1:$H$102</definedName>
    <definedName name="_xlnm.Print_Area" localSheetId="4">'PT-Example '!$A$1:$N$112</definedName>
    <definedName name="_xlnm.Print_Titles" localSheetId="4">'PT-Example '!$33:$33</definedName>
    <definedName name="Progressive_Increment__1_After_Aces">'PT-Example '!$K$20</definedName>
    <definedName name="Progressive_Increment__1_Before_Aces">'PT-Example '!$K$19</definedName>
    <definedName name="Progressive_Increment__2_After_Aces">'PT-Example '!$K$22</definedName>
    <definedName name="Qualified_Capex_Credit_Rate">'PT-Example '!$K$6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tart_date_for_2nd_year_of_adjustment_2008">'PT-Example '!$K$30</definedName>
    <definedName name="Start_date_for_3nd_year_of_adjustment_2009">'PT-Example '!$K$31</definedName>
    <definedName name="Start_date_for_adjustment_2007">'PT-Example '!$K$29</definedName>
    <definedName name="Threshold__1_Price_After_Aces">'PT-Example '!$K$18</definedName>
    <definedName name="Threshold__1_Price_Before_Aces">'PT-Example '!$K$17</definedName>
    <definedName name="Threshold__2_Price_After_Aces">'PT-Example '!$K$21</definedName>
  </definedNames>
  <calcPr calcId="171027"/>
</workbook>
</file>

<file path=xl/calcChain.xml><?xml version="1.0" encoding="utf-8"?>
<calcChain xmlns="http://schemas.openxmlformats.org/spreadsheetml/2006/main">
  <c r="H98" i="10" l="1"/>
  <c r="H96" i="10" l="1"/>
  <c r="H91" i="10"/>
  <c r="F57" i="15" l="1"/>
  <c r="F44" i="11" l="1"/>
  <c r="F59" i="15"/>
  <c r="G60" i="12"/>
  <c r="F42" i="15"/>
  <c r="F43" i="15"/>
  <c r="F44" i="15"/>
  <c r="F45" i="15"/>
  <c r="F46" i="15"/>
  <c r="F47" i="15"/>
  <c r="F48" i="15"/>
  <c r="F49" i="15"/>
  <c r="F41" i="15"/>
  <c r="G1" i="15" l="1"/>
  <c r="F3" i="10" l="1"/>
  <c r="F4" i="11"/>
  <c r="F3" i="11"/>
  <c r="F21" i="15"/>
  <c r="F22" i="15"/>
  <c r="F23" i="15"/>
  <c r="F24" i="15"/>
  <c r="F25" i="15"/>
  <c r="F26" i="15"/>
  <c r="F27" i="15"/>
  <c r="F28" i="15"/>
  <c r="F29" i="15"/>
  <c r="F30" i="15"/>
  <c r="F31" i="15"/>
  <c r="F32" i="15"/>
  <c r="F19" i="15"/>
  <c r="F12" i="15"/>
  <c r="F5" i="15"/>
  <c r="F4" i="15"/>
  <c r="F3" i="15"/>
  <c r="F2" i="15"/>
  <c r="E76" i="15" l="1"/>
  <c r="E76" i="12"/>
  <c r="E63" i="15"/>
  <c r="E63" i="12"/>
  <c r="F11" i="15" l="1"/>
  <c r="F10" i="15"/>
  <c r="F9" i="15"/>
  <c r="F8" i="15"/>
  <c r="F7" i="15" l="1"/>
  <c r="F19" i="10" l="1"/>
  <c r="A1" i="15" l="1"/>
  <c r="E95" i="10" l="1"/>
  <c r="E94" i="10"/>
  <c r="H51" i="10"/>
  <c r="H44" i="10"/>
  <c r="H43" i="10"/>
  <c r="A35" i="11"/>
  <c r="A36" i="11" s="1"/>
  <c r="A37" i="11" s="1"/>
  <c r="A38" i="11" s="1"/>
  <c r="A39" i="11" s="1"/>
  <c r="A40" i="11" s="1"/>
  <c r="A41" i="11" s="1"/>
  <c r="A42" i="11" s="1"/>
  <c r="A43" i="11" s="1"/>
  <c r="A44" i="11" s="1"/>
  <c r="A45" i="11" s="1"/>
  <c r="A46" i="11" s="1"/>
  <c r="A47" i="11" s="1"/>
  <c r="F77" i="15" l="1"/>
  <c r="F68" i="15"/>
  <c r="F70" i="15" s="1"/>
  <c r="E64" i="15"/>
  <c r="G60" i="15"/>
  <c r="F50" i="15"/>
  <c r="F52" i="15" s="1"/>
  <c r="E38" i="15"/>
  <c r="E36" i="15"/>
  <c r="G58" i="15" s="1"/>
  <c r="A35" i="15"/>
  <c r="A36" i="15" s="1"/>
  <c r="G74" i="15" l="1"/>
  <c r="G72" i="15"/>
  <c r="E61" i="10"/>
  <c r="G78" i="15"/>
  <c r="E60" i="10"/>
  <c r="G56" i="15"/>
  <c r="G54" i="15"/>
  <c r="A37" i="15"/>
  <c r="G55" i="15"/>
  <c r="G73" i="15"/>
  <c r="F94" i="11" l="1"/>
  <c r="F72" i="11"/>
  <c r="F84" i="11"/>
  <c r="A38" i="15"/>
  <c r="A39" i="15" l="1"/>
  <c r="A40" i="15" l="1"/>
  <c r="A41" i="15" l="1"/>
  <c r="A42" i="15" l="1"/>
  <c r="A43" i="15" l="1"/>
  <c r="A44" i="15" l="1"/>
  <c r="A45" i="15" l="1"/>
  <c r="A46" i="15" l="1"/>
  <c r="A47" i="15" l="1"/>
  <c r="A48" i="15" l="1"/>
  <c r="A49" i="15" l="1"/>
  <c r="A50" i="15" l="1"/>
  <c r="A51" i="15" l="1"/>
  <c r="A52" i="15" l="1"/>
  <c r="A53" i="15" l="1"/>
  <c r="A54" i="15" l="1"/>
  <c r="A55" i="15" l="1"/>
  <c r="A56" i="15" l="1"/>
  <c r="A57" i="15" l="1"/>
  <c r="A58" i="15" l="1"/>
  <c r="A59" i="15" l="1"/>
  <c r="A60" i="15" l="1"/>
  <c r="A61" i="15" l="1"/>
  <c r="A62" i="15" l="1"/>
  <c r="A63" i="15" l="1"/>
  <c r="A64" i="15" l="1"/>
  <c r="A65" i="15" l="1"/>
  <c r="A66" i="15" l="1"/>
  <c r="A67" i="15" l="1"/>
  <c r="A68" i="15" l="1"/>
  <c r="A69" i="15" l="1"/>
  <c r="A70" i="15" l="1"/>
  <c r="A71" i="15" l="1"/>
  <c r="A72" i="15" l="1"/>
  <c r="A73" i="15" l="1"/>
  <c r="A74" i="15" l="1"/>
  <c r="A75" i="15" l="1"/>
  <c r="A76" i="15" l="1"/>
  <c r="A77" i="15" l="1"/>
  <c r="A78" i="15" l="1"/>
  <c r="G75" i="10" l="1"/>
  <c r="H45" i="10"/>
  <c r="F68" i="12" l="1"/>
  <c r="E64" i="12"/>
  <c r="E38" i="12"/>
  <c r="E36" i="12"/>
  <c r="F70" i="12" l="1"/>
  <c r="A34" i="10"/>
  <c r="G72" i="12" l="1"/>
  <c r="G74" i="12"/>
  <c r="G58" i="12" l="1"/>
  <c r="F12" i="10"/>
  <c r="F7" i="10" l="1"/>
  <c r="F8" i="10"/>
  <c r="F9" i="10"/>
  <c r="F10" i="10"/>
  <c r="F87" i="10" l="1"/>
  <c r="H89" i="10" s="1"/>
  <c r="F97" i="10"/>
  <c r="G63" i="10"/>
  <c r="F69" i="11" l="1"/>
  <c r="A35" i="12"/>
  <c r="A36" i="12" l="1"/>
  <c r="H1" i="10"/>
  <c r="G1" i="11"/>
  <c r="A37" i="12" l="1"/>
  <c r="A38" i="12" l="1"/>
  <c r="A39" i="12" s="1"/>
  <c r="A40" i="12" s="1"/>
  <c r="A41" i="12" s="1"/>
  <c r="G64" i="10"/>
  <c r="A1" i="10"/>
  <c r="A1" i="11"/>
  <c r="F77" i="12"/>
  <c r="F52" i="10"/>
  <c r="G49" i="10"/>
  <c r="G41" i="10"/>
  <c r="F71" i="10"/>
  <c r="F55" i="11"/>
  <c r="F50" i="12"/>
  <c r="D86" i="11"/>
  <c r="D85" i="11"/>
  <c r="F80" i="11"/>
  <c r="D53" i="11"/>
  <c r="F32" i="11"/>
  <c r="F31" i="11"/>
  <c r="F30" i="11"/>
  <c r="F29" i="11"/>
  <c r="F28" i="11"/>
  <c r="F27" i="11"/>
  <c r="F26" i="11"/>
  <c r="F25" i="11"/>
  <c r="F24" i="11"/>
  <c r="F23" i="11"/>
  <c r="F22" i="11"/>
  <c r="F21" i="11"/>
  <c r="F19" i="11"/>
  <c r="F12" i="11"/>
  <c r="F11" i="11"/>
  <c r="F10" i="11"/>
  <c r="F9" i="11"/>
  <c r="F8" i="11"/>
  <c r="F7" i="11"/>
  <c r="F5" i="11"/>
  <c r="G84" i="10"/>
  <c r="H74" i="10"/>
  <c r="F32" i="10"/>
  <c r="F31" i="10"/>
  <c r="F30" i="10"/>
  <c r="F29" i="10"/>
  <c r="F28" i="10"/>
  <c r="F27" i="10"/>
  <c r="F26" i="10"/>
  <c r="F25" i="10"/>
  <c r="F24" i="10"/>
  <c r="F23" i="10"/>
  <c r="K27" i="10"/>
  <c r="K28" i="10" s="1"/>
  <c r="F22" i="10"/>
  <c r="F21" i="10"/>
  <c r="F11" i="10"/>
  <c r="F5" i="10"/>
  <c r="F4" i="10"/>
  <c r="G73" i="10"/>
  <c r="A42" i="12" l="1"/>
  <c r="F52" i="12"/>
  <c r="H39" i="10" s="1"/>
  <c r="H48" i="10"/>
  <c r="F46" i="11"/>
  <c r="G78" i="12"/>
  <c r="F83" i="11" s="1"/>
  <c r="G70" i="10"/>
  <c r="G66" i="10"/>
  <c r="G76" i="10"/>
  <c r="F82" i="11"/>
  <c r="H40" i="10"/>
  <c r="H67" i="10" s="1"/>
  <c r="G72" i="10"/>
  <c r="F69" i="10"/>
  <c r="F88" i="10"/>
  <c r="G54" i="12" l="1"/>
  <c r="H57" i="10" s="1"/>
  <c r="G55" i="12"/>
  <c r="A43" i="12"/>
  <c r="G56" i="12"/>
  <c r="H50" i="10"/>
  <c r="E62" i="10"/>
  <c r="H42" i="10"/>
  <c r="G73" i="12"/>
  <c r="H55" i="10"/>
  <c r="F92" i="10" l="1"/>
  <c r="F93" i="11"/>
  <c r="F71" i="11"/>
  <c r="A44" i="12"/>
  <c r="E90" i="10"/>
  <c r="H53" i="10"/>
  <c r="H68" i="10"/>
  <c r="H47" i="10"/>
  <c r="H46" i="10" l="1"/>
  <c r="H83" i="10" s="1"/>
  <c r="A45" i="12"/>
  <c r="H54" i="10"/>
  <c r="H65" i="10" s="1"/>
  <c r="H85" i="10" l="1"/>
  <c r="A46" i="12"/>
  <c r="H56" i="10"/>
  <c r="F77" i="10" s="1"/>
  <c r="G99" i="10" s="1"/>
  <c r="A47" i="12" l="1"/>
  <c r="H103" i="10"/>
  <c r="A48" i="12" l="1"/>
  <c r="F53" i="11"/>
  <c r="F93" i="10"/>
  <c r="F56" i="11" l="1"/>
  <c r="A48" i="11"/>
  <c r="A49" i="12"/>
  <c r="A35" i="10"/>
  <c r="A49" i="11" l="1"/>
  <c r="A50" i="12"/>
  <c r="A36" i="10"/>
  <c r="H58" i="10"/>
  <c r="H59" i="10" s="1"/>
  <c r="H101" i="10" l="1"/>
  <c r="A50" i="11"/>
  <c r="A51" i="11" s="1"/>
  <c r="A52" i="11" s="1"/>
  <c r="A51" i="12"/>
  <c r="A37" i="10"/>
  <c r="G78" i="10"/>
  <c r="H82" i="10" s="1"/>
  <c r="A38" i="10" l="1"/>
  <c r="A39" i="10" s="1"/>
  <c r="H79" i="10"/>
  <c r="A52" i="12"/>
  <c r="A53" i="11" l="1"/>
  <c r="A53" i="12"/>
  <c r="A40" i="10"/>
  <c r="G80" i="10"/>
  <c r="H102" i="10"/>
  <c r="H81" i="10" l="1"/>
  <c r="A54" i="11"/>
  <c r="A54" i="12"/>
  <c r="A41" i="10"/>
  <c r="F86" i="11"/>
  <c r="A55" i="11" l="1"/>
  <c r="A55" i="12"/>
  <c r="A56" i="11" l="1"/>
  <c r="A56" i="12"/>
  <c r="A57" i="11" l="1"/>
  <c r="A57" i="12"/>
  <c r="A58" i="11" l="1"/>
  <c r="A58" i="12"/>
  <c r="A59" i="11" l="1"/>
  <c r="A59" i="12"/>
  <c r="A60" i="11" l="1"/>
  <c r="A60" i="12"/>
  <c r="A61" i="11" l="1"/>
  <c r="A61" i="12"/>
  <c r="A62" i="11" l="1"/>
  <c r="A62" i="12"/>
  <c r="A63" i="11" l="1"/>
  <c r="A63" i="12"/>
  <c r="A64" i="11" l="1"/>
  <c r="A64" i="12"/>
  <c r="A65" i="11" l="1"/>
  <c r="A65" i="12"/>
  <c r="A66" i="11" l="1"/>
  <c r="A66" i="12"/>
  <c r="A67" i="11" l="1"/>
  <c r="A67" i="12"/>
  <c r="A68" i="11" l="1"/>
  <c r="A68" i="12"/>
  <c r="A69" i="11" l="1"/>
  <c r="A69" i="12"/>
  <c r="A70" i="11" l="1"/>
  <c r="A70" i="12"/>
  <c r="A71" i="11" l="1"/>
  <c r="A71" i="12"/>
  <c r="A72" i="11" l="1"/>
  <c r="A72" i="12"/>
  <c r="A73" i="11" l="1"/>
  <c r="A73" i="12"/>
  <c r="A42" i="10"/>
  <c r="A74" i="11" l="1"/>
  <c r="A74" i="12"/>
  <c r="A43" i="10"/>
  <c r="A75" i="11" l="1"/>
  <c r="A75" i="12"/>
  <c r="A44" i="10"/>
  <c r="A76" i="11" l="1"/>
  <c r="A76" i="12"/>
  <c r="A45" i="10"/>
  <c r="A77" i="11" l="1"/>
  <c r="A77" i="12"/>
  <c r="A46" i="10"/>
  <c r="A78" i="11" l="1"/>
  <c r="A78" i="12"/>
  <c r="A47" i="10"/>
  <c r="A79" i="11" l="1"/>
  <c r="A48" i="10"/>
  <c r="A80" i="11" l="1"/>
  <c r="A49" i="10"/>
  <c r="A81" i="11" l="1"/>
  <c r="A50" i="10"/>
  <c r="A82" i="11" l="1"/>
  <c r="A51" i="10"/>
  <c r="A83" i="11" l="1"/>
  <c r="A52" i="10"/>
  <c r="A84" i="11" l="1"/>
  <c r="A53" i="10"/>
  <c r="A85" i="11" l="1"/>
  <c r="A54" i="10"/>
  <c r="A86" i="11" l="1"/>
  <c r="A55" i="10"/>
  <c r="A87" i="11" l="1"/>
  <c r="A56" i="10"/>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88" i="11" l="1"/>
  <c r="A89" i="11" l="1"/>
  <c r="A90" i="11" l="1"/>
  <c r="A91" i="11" l="1"/>
  <c r="A92" i="11" l="1"/>
  <c r="A93" i="11" l="1"/>
  <c r="A94" i="11" l="1"/>
  <c r="A95" i="11" l="1"/>
  <c r="A96" i="11" l="1"/>
  <c r="A97" i="11" l="1"/>
  <c r="H86" i="10" l="1"/>
  <c r="H100" i="10" l="1"/>
  <c r="F85" i="11" s="1"/>
  <c r="F92" i="11" s="1"/>
  <c r="F95" i="11" s="1"/>
  <c r="F96" i="11" s="1"/>
  <c r="F97" i="11" l="1"/>
  <c r="F57" i="11"/>
  <c r="F58" i="11" s="1"/>
  <c r="F59" i="11" l="1"/>
  <c r="F61" i="11" s="1"/>
  <c r="F62" i="11" s="1"/>
  <c r="F63" i="11" l="1"/>
  <c r="F64" i="11" s="1"/>
  <c r="F66" i="11" s="1"/>
</calcChain>
</file>

<file path=xl/sharedStrings.xml><?xml version="1.0" encoding="utf-8"?>
<sst xmlns="http://schemas.openxmlformats.org/spreadsheetml/2006/main" count="1483" uniqueCount="562">
  <si>
    <t>ADDRESS1</t>
  </si>
  <si>
    <t>ADDRESS2</t>
  </si>
  <si>
    <t>CITY</t>
  </si>
  <si>
    <t>STATE</t>
  </si>
  <si>
    <t>ZIP</t>
  </si>
  <si>
    <t>REPORT MONTH</t>
  </si>
  <si>
    <t>PREPARER</t>
  </si>
  <si>
    <t>LEASE NUMBER</t>
  </si>
  <si>
    <t>PREPARER PHONE NUMBER</t>
  </si>
  <si>
    <t>PREPARER FAX NUMBER</t>
  </si>
  <si>
    <t>PHONE NUMBER</t>
  </si>
  <si>
    <t>FAX NUMBER</t>
  </si>
  <si>
    <t>AUTHORIZED SIGNATURE (CODE)</t>
  </si>
  <si>
    <t>AUTHORIZED DATE</t>
  </si>
  <si>
    <t>CUSTOMER ID NUMBER</t>
  </si>
  <si>
    <t>PRODUCTION MONTH</t>
  </si>
  <si>
    <t>CONTROL NUMBER</t>
  </si>
  <si>
    <t>REVISION NO.</t>
  </si>
  <si>
    <t>AUTHORIZED SIGNATURE (Printed Name)</t>
  </si>
  <si>
    <t>LINE NO.</t>
  </si>
  <si>
    <t>ALLOCATION CODE</t>
  </si>
  <si>
    <t>AMOUNT</t>
  </si>
  <si>
    <t>LESSEE NAME</t>
  </si>
  <si>
    <t>ACCOUNTING UNIT</t>
  </si>
  <si>
    <t>ACCOUNT CODE</t>
  </si>
  <si>
    <t>RATE</t>
  </si>
  <si>
    <t>ACCOUNTING UNIT CODE</t>
  </si>
  <si>
    <t>ACCOUNTING UNIT NAME</t>
  </si>
  <si>
    <t>PRODUCT CODE</t>
  </si>
  <si>
    <t>DISPOSITION CODE</t>
  </si>
  <si>
    <t>QUANTITY</t>
  </si>
  <si>
    <t>VALUE</t>
  </si>
  <si>
    <t>SELLING ARR CODE</t>
  </si>
  <si>
    <t>REPORT CODE</t>
  </si>
  <si>
    <t>AC</t>
  </si>
  <si>
    <t>VV</t>
  </si>
  <si>
    <t>AL</t>
  </si>
  <si>
    <t>PT</t>
  </si>
  <si>
    <t>REPORT TYPE</t>
  </si>
  <si>
    <t>FILING TYPE</t>
  </si>
  <si>
    <t>Factors</t>
  </si>
  <si>
    <t>Code</t>
  </si>
  <si>
    <t>(NPSL Report)</t>
  </si>
  <si>
    <t>Overhead For Opex</t>
  </si>
  <si>
    <t>Overhead For Capex</t>
  </si>
  <si>
    <t>CEER</t>
  </si>
  <si>
    <t>Qualified Capex Credit Rate</t>
  </si>
  <si>
    <t>QCEC</t>
  </si>
  <si>
    <t>ACES Effective Date</t>
  </si>
  <si>
    <t>ACES</t>
  </si>
  <si>
    <t>THR2</t>
  </si>
  <si>
    <t>MUL2</t>
  </si>
  <si>
    <t>Adjustment Factor 2007</t>
  </si>
  <si>
    <t>AF7</t>
  </si>
  <si>
    <t>Adjustment Factor 2008</t>
  </si>
  <si>
    <t>AF8</t>
  </si>
  <si>
    <t>Adjustment Factor 2009</t>
  </si>
  <si>
    <t>AF9</t>
  </si>
  <si>
    <t>Start date for adjustment</t>
  </si>
  <si>
    <t>SD7</t>
  </si>
  <si>
    <t>Start date for 2nd year of adjustment</t>
  </si>
  <si>
    <t>SD8</t>
  </si>
  <si>
    <t>Start date for 3rd year of adjustment</t>
  </si>
  <si>
    <t>SD9</t>
  </si>
  <si>
    <t>End date for cap</t>
  </si>
  <si>
    <t>SD10</t>
  </si>
  <si>
    <t>ALLOCATION CODE DESCRIPTION</t>
  </si>
  <si>
    <t>REGULATIONS CITE</t>
  </si>
  <si>
    <t>PR</t>
  </si>
  <si>
    <t xml:space="preserve"> </t>
  </si>
  <si>
    <t>TCR</t>
  </si>
  <si>
    <t>TOI</t>
  </si>
  <si>
    <t>Total Overhead Items</t>
  </si>
  <si>
    <t>GOAE</t>
  </si>
  <si>
    <t>General Overhead and Admin. Expense</t>
  </si>
  <si>
    <t>AVT</t>
  </si>
  <si>
    <t>Ad Valorem Taxes</t>
  </si>
  <si>
    <t>NOP</t>
  </si>
  <si>
    <t>Non Operator Charges</t>
  </si>
  <si>
    <t>AANOH</t>
  </si>
  <si>
    <t>Audit Adjustments - Non-Overhead items</t>
  </si>
  <si>
    <t>TRYE</t>
  </si>
  <si>
    <t>Royalty payments</t>
  </si>
  <si>
    <t>KPRK</t>
  </si>
  <si>
    <t>11 AAC 83.241(a)(1)</t>
  </si>
  <si>
    <t>BNDCPT</t>
  </si>
  <si>
    <t>NDCPT</t>
  </si>
  <si>
    <t>Net Direct Charges Petroleum Production Tax Lease Allowance</t>
  </si>
  <si>
    <t>DV</t>
  </si>
  <si>
    <t>General Overhead &amp; Administrative Expense</t>
  </si>
  <si>
    <t>RTO</t>
  </si>
  <si>
    <t>Reimbursements to Operator (Capital)</t>
  </si>
  <si>
    <t>EXCAP</t>
  </si>
  <si>
    <t>Excluded capital (see AS 43.55.165(e)(18))</t>
  </si>
  <si>
    <t>QCE</t>
  </si>
  <si>
    <t>CAPF</t>
  </si>
  <si>
    <t>Capital Access Fee</t>
  </si>
  <si>
    <t>TPTD</t>
  </si>
  <si>
    <r>
      <t xml:space="preserve">Total </t>
    </r>
    <r>
      <rPr>
        <sz val="10"/>
        <rFont val="Calibri"/>
        <family val="2"/>
      </rPr>
      <t>Petroleum Production Tax Lease Allowance Development Costs</t>
    </r>
  </si>
  <si>
    <t>PTNR</t>
  </si>
  <si>
    <t>Petroleum Production Tax Lease Allowance Net Revenue</t>
  </si>
  <si>
    <t>B</t>
  </si>
  <si>
    <t>TWIO</t>
  </si>
  <si>
    <t xml:space="preserve">Working Interest Ownership Volume (BOE) </t>
  </si>
  <si>
    <t>TRV</t>
  </si>
  <si>
    <t xml:space="preserve">Royalty Volume (BOE) </t>
  </si>
  <si>
    <t>PTWIO</t>
  </si>
  <si>
    <t>Petroleum Production Tax Lease Allowance Working Interest Owner Volume (BOE) net of Royalty Volume (BOE)</t>
  </si>
  <si>
    <t>Defined in Lease</t>
  </si>
  <si>
    <t>PTLB</t>
  </si>
  <si>
    <t>Petroleum Production Tax Lease Allowance loss before production</t>
  </si>
  <si>
    <t>11 AAC 83.220(c)</t>
  </si>
  <si>
    <t>PTLBC</t>
  </si>
  <si>
    <t>Petroleum Production Tax Lease Allowance loss before production credit</t>
  </si>
  <si>
    <t>D</t>
  </si>
  <si>
    <t>11 AAC 83.241(c)</t>
  </si>
  <si>
    <t>THR1</t>
  </si>
  <si>
    <t>Threshold #1</t>
  </si>
  <si>
    <t>MUL1</t>
  </si>
  <si>
    <t>Threshold #2</t>
  </si>
  <si>
    <t>BEGB</t>
  </si>
  <si>
    <t>Beginning Balance</t>
  </si>
  <si>
    <t>NP</t>
  </si>
  <si>
    <t>NPR</t>
  </si>
  <si>
    <t>Net Profit Share Rate</t>
  </si>
  <si>
    <t>BTR</t>
  </si>
  <si>
    <t>Base Tax Rate</t>
  </si>
  <si>
    <t>POS</t>
  </si>
  <si>
    <t>Payout Status Estimate</t>
  </si>
  <si>
    <t>NPDF</t>
  </si>
  <si>
    <t>PTNRB</t>
  </si>
  <si>
    <t>PTPIR</t>
  </si>
  <si>
    <t xml:space="preserve">Petroleum Production Tax Lease Allowance Price Index Rate </t>
  </si>
  <si>
    <t>PTPI</t>
  </si>
  <si>
    <r>
      <rPr>
        <sz val="10"/>
        <rFont val="Calibri"/>
        <family val="2"/>
      </rPr>
      <t>Petroleum Production Tax Lease Allowance</t>
    </r>
    <r>
      <rPr>
        <sz val="10"/>
        <color indexed="8"/>
        <rFont val="Calibri"/>
        <family val="2"/>
      </rPr>
      <t xml:space="preserve">  Price Index </t>
    </r>
  </si>
  <si>
    <t>11 AAC 83.241(b)(1)</t>
  </si>
  <si>
    <t>PTSE</t>
  </si>
  <si>
    <t xml:space="preserve">Petroleum Production Tax Lease Allowance Section (e) </t>
  </si>
  <si>
    <t>GVPOP</t>
  </si>
  <si>
    <t>Gross Value at Point of Production</t>
  </si>
  <si>
    <t>= TCR + TRYE</t>
  </si>
  <si>
    <t>ANS</t>
  </si>
  <si>
    <t>West Coast ANS price</t>
  </si>
  <si>
    <t>Enter This Information</t>
  </si>
  <si>
    <t>PTMTR</t>
  </si>
  <si>
    <r>
      <rPr>
        <sz val="10"/>
        <rFont val="Calibri"/>
        <family val="2"/>
      </rPr>
      <t>Petroleum Production Tax Lease Allowance</t>
    </r>
    <r>
      <rPr>
        <sz val="10"/>
        <color indexed="8"/>
        <rFont val="Calibri"/>
        <family val="2"/>
      </rPr>
      <t xml:space="preserve"> minimum tax rate </t>
    </r>
  </si>
  <si>
    <t>PTMT</t>
  </si>
  <si>
    <t xml:space="preserve">Petroleum Production Tax Lease Allowance Minimum Tax </t>
  </si>
  <si>
    <t>SPC</t>
  </si>
  <si>
    <t>DOM</t>
  </si>
  <si>
    <t>Days in the month</t>
  </si>
  <si>
    <t>SWTPD</t>
  </si>
  <si>
    <t>PTTSPC</t>
  </si>
  <si>
    <t>Petroleum Production Tax Lease Allowance Small Producer Credit</t>
  </si>
  <si>
    <t>11 AAC 83.241(d)</t>
  </si>
  <si>
    <t>PWIOD</t>
  </si>
  <si>
    <t>= PTWIO/(Days in the month)</t>
  </si>
  <si>
    <t>PTSPC</t>
  </si>
  <si>
    <t xml:space="preserve">Petroleum Production Tax Lease Allowance lease allocated small producer credit </t>
  </si>
  <si>
    <t>G</t>
  </si>
  <si>
    <t>Petroleum Production Tax Lease Allowance</t>
  </si>
  <si>
    <t>PTLA</t>
  </si>
  <si>
    <t>H</t>
  </si>
  <si>
    <t xml:space="preserve">PTLR </t>
  </si>
  <si>
    <t>Petroleum Production Tax lease allowance loss against Revenue Account</t>
  </si>
  <si>
    <t>PTLRC</t>
  </si>
  <si>
    <r>
      <t>Petroleum Production Tax lease allowance</t>
    </r>
    <r>
      <rPr>
        <sz val="10"/>
        <color indexed="17"/>
        <rFont val="Calibri"/>
        <family val="2"/>
      </rPr>
      <t xml:space="preserve"> </t>
    </r>
    <r>
      <rPr>
        <sz val="10"/>
        <rFont val="Calibri"/>
        <family val="2"/>
      </rPr>
      <t>loss</t>
    </r>
    <r>
      <rPr>
        <sz val="10"/>
        <color indexed="17"/>
        <rFont val="Calibri"/>
        <family val="2"/>
      </rPr>
      <t xml:space="preserve"> </t>
    </r>
    <r>
      <rPr>
        <sz val="10"/>
        <color indexed="8"/>
        <rFont val="Calibri"/>
        <family val="2"/>
      </rPr>
      <t>against Revenue Account Credit</t>
    </r>
  </si>
  <si>
    <t>I</t>
  </si>
  <si>
    <t>PTDC</t>
  </si>
  <si>
    <t>Petroleum Production Tax Lease Allowance Development Account Credits</t>
  </si>
  <si>
    <t>= QCEC + PTLBC</t>
  </si>
  <si>
    <t>11 AAC 83.220(b) &amp; (c)</t>
  </si>
  <si>
    <t>LEASE</t>
  </si>
  <si>
    <t>ABC</t>
  </si>
  <si>
    <t>EPPD</t>
  </si>
  <si>
    <t xml:space="preserve"> Exploration Pre and Post Drilling</t>
  </si>
  <si>
    <t>CPD</t>
  </si>
  <si>
    <t>Construction Project Design Costs</t>
  </si>
  <si>
    <t>CWP</t>
  </si>
  <si>
    <t>Cost of Capital Work-in-Progress</t>
  </si>
  <si>
    <t>DCW</t>
  </si>
  <si>
    <t>WLE</t>
  </si>
  <si>
    <t xml:space="preserve"> Well &amp; Lease Equipment Costs</t>
  </si>
  <si>
    <t>AAOH</t>
  </si>
  <si>
    <t>Audit Adjustments - Overhead Items</t>
  </si>
  <si>
    <t>OVHR</t>
  </si>
  <si>
    <t>General Overhead and Admin. Expense Rate</t>
  </si>
  <si>
    <t>RLP</t>
  </si>
  <si>
    <t>Rentals/Licenses/Permits</t>
  </si>
  <si>
    <t>API</t>
  </si>
  <si>
    <t>Cost to Acquire Production Interest</t>
  </si>
  <si>
    <t>PPT</t>
  </si>
  <si>
    <t>Pre-Production Taxes</t>
  </si>
  <si>
    <t>EIC</t>
  </si>
  <si>
    <t>Exploration Incentive Credit</t>
  </si>
  <si>
    <r>
      <t xml:space="preserve">Capital Access Fee - </t>
    </r>
    <r>
      <rPr>
        <b/>
        <sz val="8"/>
        <rFont val="Arial"/>
        <family val="2"/>
      </rPr>
      <t>Milne Point Leases Only</t>
    </r>
  </si>
  <si>
    <t>TOTDC</t>
  </si>
  <si>
    <t>Total Development Costs</t>
  </si>
  <si>
    <t>CPR</t>
  </si>
  <si>
    <t>Credit from Production Revenue</t>
  </si>
  <si>
    <t>PEB</t>
  </si>
  <si>
    <t>Preliminary Ending Balance</t>
  </si>
  <si>
    <t>PRIN</t>
  </si>
  <si>
    <t>Principal</t>
  </si>
  <si>
    <t>IR</t>
  </si>
  <si>
    <t>Interest Rate</t>
  </si>
  <si>
    <t>AINT</t>
  </si>
  <si>
    <t>Accrued Interest</t>
  </si>
  <si>
    <t>DEV</t>
  </si>
  <si>
    <t>ENDB</t>
  </si>
  <si>
    <t>Ending Balance</t>
  </si>
  <si>
    <t>TAD</t>
  </si>
  <si>
    <t>Total Amount Due</t>
  </si>
  <si>
    <t xml:space="preserve"> Beginning Balance</t>
  </si>
  <si>
    <t>PO</t>
  </si>
  <si>
    <t>Production Operations Expense</t>
  </si>
  <si>
    <t>DL</t>
  </si>
  <si>
    <t>Damages and Losses</t>
  </si>
  <si>
    <t>OTH</t>
  </si>
  <si>
    <t>Other Charges</t>
  </si>
  <si>
    <t>LR</t>
  </si>
  <si>
    <t>Lease Rentals</t>
  </si>
  <si>
    <t>TAC</t>
  </si>
  <si>
    <t>Audit Adjustments - Non - Overhead Items</t>
  </si>
  <si>
    <t>TDC</t>
  </si>
  <si>
    <t>Total Direct Charges (Operating)</t>
  </si>
  <si>
    <t>TDB</t>
  </si>
  <si>
    <t>Total Debits</t>
  </si>
  <si>
    <t>PREV</t>
  </si>
  <si>
    <t>Production Revenue for the Month</t>
  </si>
  <si>
    <t>Legend</t>
  </si>
  <si>
    <t>Calculated Cell (Formula, Do Not Override)</t>
  </si>
  <si>
    <t>Calculated Cell (From PT Schedule)</t>
  </si>
  <si>
    <t>Calculated Cell (From VV Schedule)</t>
  </si>
  <si>
    <t>REG</t>
  </si>
  <si>
    <t>XYZ Company</t>
  </si>
  <si>
    <t>Enter Data</t>
  </si>
  <si>
    <t>QUALITY MEASUREMENT</t>
  </si>
  <si>
    <t>O</t>
  </si>
  <si>
    <t>0010</t>
  </si>
  <si>
    <t>WIO</t>
  </si>
  <si>
    <t>211001A000</t>
  </si>
  <si>
    <t>Working Interest Ownership</t>
  </si>
  <si>
    <t>2010</t>
  </si>
  <si>
    <t>ROY</t>
  </si>
  <si>
    <t>Royalty Volume</t>
  </si>
  <si>
    <t>RIV</t>
  </si>
  <si>
    <t>Royalty-In-Value</t>
  </si>
  <si>
    <t>RIK</t>
  </si>
  <si>
    <t>Royalty-In-Kind</t>
  </si>
  <si>
    <t>SV</t>
  </si>
  <si>
    <t>Starting Value</t>
  </si>
  <si>
    <t>TT</t>
  </si>
  <si>
    <t>TAPS Tariff</t>
  </si>
  <si>
    <t>L</t>
  </si>
  <si>
    <t>Losses</t>
  </si>
  <si>
    <t>QA</t>
  </si>
  <si>
    <t>Quality Bank Adjustment</t>
  </si>
  <si>
    <t>SVA</t>
  </si>
  <si>
    <t>Settlement Value Adjustment</t>
  </si>
  <si>
    <t>TADJ</t>
  </si>
  <si>
    <t>Transportation Adjustment</t>
  </si>
  <si>
    <t>AA</t>
  </si>
  <si>
    <t>Audit Adjustment Value</t>
  </si>
  <si>
    <t>RV</t>
  </si>
  <si>
    <t>Royalty Value</t>
  </si>
  <si>
    <t>FC</t>
  </si>
  <si>
    <t>Field Cost</t>
  </si>
  <si>
    <t>WH</t>
  </si>
  <si>
    <t>Well Head</t>
  </si>
  <si>
    <t>SADJ</t>
  </si>
  <si>
    <t>TV</t>
  </si>
  <si>
    <t>RYE</t>
  </si>
  <si>
    <t>Royalty Expense</t>
  </si>
  <si>
    <t>ACR</t>
  </si>
  <si>
    <t>Abandonment Cost Rate per Barrel</t>
  </si>
  <si>
    <t>Abandonment Cost</t>
  </si>
  <si>
    <t>CAPFR</t>
  </si>
  <si>
    <t>Capital Access Fee Rate per Barrel-Milne Pt Only</t>
  </si>
  <si>
    <t>Capital Access Fee-Milne Pt Only</t>
  </si>
  <si>
    <t>(NPSL REPORT)</t>
  </si>
  <si>
    <t>NPAR</t>
  </si>
  <si>
    <t>MPIR</t>
  </si>
  <si>
    <t>Maximum Price Index Rate</t>
  </si>
  <si>
    <t>Overhead for Development Account</t>
  </si>
  <si>
    <t>Overhead for Production Revenue Account</t>
  </si>
  <si>
    <t>CFCR</t>
  </si>
  <si>
    <t>QCECR</t>
  </si>
  <si>
    <t>Loss Carry Forward Credit Rate</t>
  </si>
  <si>
    <t>Capital Exclusion - Cents Per BOE</t>
  </si>
  <si>
    <t>Qualified Capital Expenditure Rate</t>
  </si>
  <si>
    <t>QCC</t>
  </si>
  <si>
    <t>LCF</t>
  </si>
  <si>
    <t>TBP</t>
  </si>
  <si>
    <t>PTB</t>
  </si>
  <si>
    <t>LCC</t>
  </si>
  <si>
    <t>PPC</t>
  </si>
  <si>
    <t>A</t>
  </si>
  <si>
    <t>11 AAC 83.241(c)(2)</t>
  </si>
  <si>
    <t xml:space="preserve">11 AAC 83.241(c)(2) </t>
  </si>
  <si>
    <t>11 AAC 83.220(a)(5)</t>
  </si>
  <si>
    <t>11 AAC 83.220(b)</t>
  </si>
  <si>
    <t>11 AAC 83.241(e)</t>
  </si>
  <si>
    <t>11 AAC 83.241(a)(1)(A)</t>
  </si>
  <si>
    <t>11 AAC 83.241(d)(2)(B)</t>
  </si>
  <si>
    <t>11 AAC 83.241(a)(2)(A)</t>
  </si>
  <si>
    <t>PTL</t>
  </si>
  <si>
    <t xml:space="preserve">Petroleum Production Tax Lease Allowance Net Revenue Calculation </t>
  </si>
  <si>
    <t>Loss Carry Forward Calculation</t>
  </si>
  <si>
    <t>Small Producer Credit</t>
  </si>
  <si>
    <t>Petroleum Production Tax Development Account Credits</t>
  </si>
  <si>
    <t>Net Profit Annual Rate</t>
  </si>
  <si>
    <t>Multiplier #1 (Progressive Increment #1)</t>
  </si>
  <si>
    <t>Multiplier #2 (Progressive Increment #2)</t>
  </si>
  <si>
    <t>PTBC</t>
  </si>
  <si>
    <t>Petroleum Production Tax Lease Allowance Calculation</t>
  </si>
  <si>
    <t>Qualified Capital Expenditures</t>
  </si>
  <si>
    <t>Net Profit Deductibility Factor</t>
  </si>
  <si>
    <t>PTR</t>
  </si>
  <si>
    <t>Fixed Variables Description</t>
  </si>
  <si>
    <t>PR OVHR</t>
  </si>
  <si>
    <t>DV OVHR</t>
  </si>
  <si>
    <t>Base Annual Net Direct Charges</t>
  </si>
  <si>
    <t>Qualified Capital Expenditures Credit</t>
  </si>
  <si>
    <t>BOER</t>
  </si>
  <si>
    <t xml:space="preserve">Conversion Rate To Barrels Value </t>
  </si>
  <si>
    <t>MT</t>
  </si>
  <si>
    <t xml:space="preserve">Milne Tariff </t>
  </si>
  <si>
    <t>Working Interest Ownership in Mcf</t>
  </si>
  <si>
    <r>
      <t>= CEER</t>
    </r>
    <r>
      <rPr>
        <sz val="10"/>
        <color indexed="8"/>
        <rFont val="Calibri"/>
        <family val="2"/>
      </rPr>
      <t xml:space="preserve"> </t>
    </r>
    <r>
      <rPr>
        <b/>
        <sz val="10"/>
        <color indexed="8"/>
        <rFont val="Calibri"/>
        <family val="2"/>
      </rPr>
      <t>*</t>
    </r>
    <r>
      <rPr>
        <sz val="10"/>
        <color indexed="8"/>
        <rFont val="Calibri"/>
        <family val="2"/>
      </rPr>
      <t xml:space="preserve"> PTWIO</t>
    </r>
  </si>
  <si>
    <t>15 AAC 55.171 (m)</t>
  </si>
  <si>
    <t>AS 43.55.011(e)</t>
  </si>
  <si>
    <t xml:space="preserve"> Drilling Costs - Well</t>
  </si>
  <si>
    <t>11 AAC 83.241(c)(1)</t>
  </si>
  <si>
    <t>11 AAC 83.241(c)(3)</t>
  </si>
  <si>
    <t>WIOB</t>
  </si>
  <si>
    <t>ROYB</t>
  </si>
  <si>
    <t>WIO Mcf Volume Converted To BOE Volume</t>
  </si>
  <si>
    <t>Kuparuk Lease (Yes = 1, No = 2)</t>
  </si>
  <si>
    <t>ROY Mcf Volume Converted To BOE Volume</t>
  </si>
  <si>
    <t>0300</t>
  </si>
  <si>
    <t>2300</t>
  </si>
  <si>
    <r>
      <t xml:space="preserve">Enter This Information From:
</t>
    </r>
    <r>
      <rPr>
        <b/>
        <sz val="10"/>
        <rFont val="Calibri"/>
        <family val="2"/>
      </rPr>
      <t>www.tax.alaska.gov/programs/oil/prevailing/ans.aspx</t>
    </r>
  </si>
  <si>
    <t>Petroleum Production Tax Lease Allowance Working Interest Owner Volumes net of Royalty in BOE per day for the lease.</t>
  </si>
  <si>
    <t>000012345</t>
  </si>
  <si>
    <t>REPORT FORMULA</t>
  </si>
  <si>
    <t>Loss Carry Forward Credit Against Production Revenue Account</t>
  </si>
  <si>
    <r>
      <t xml:space="preserve">= CEER ( </t>
    </r>
    <r>
      <rPr>
        <b/>
        <sz val="12"/>
        <color indexed="8"/>
        <rFont val="Calibri"/>
        <family val="2"/>
      </rPr>
      <t>-</t>
    </r>
    <r>
      <rPr>
        <sz val="10"/>
        <color indexed="8"/>
        <rFont val="Calibri"/>
        <family val="2"/>
      </rPr>
      <t xml:space="preserve"> $0.30 )</t>
    </r>
  </si>
  <si>
    <r>
      <t xml:space="preserve">= </t>
    </r>
    <r>
      <rPr>
        <b/>
        <sz val="12"/>
        <rFont val="Calibri"/>
        <family val="2"/>
      </rPr>
      <t>-</t>
    </r>
    <r>
      <rPr>
        <sz val="10"/>
        <rFont val="Calibri"/>
        <family val="2"/>
      </rPr>
      <t xml:space="preserve"> </t>
    </r>
    <r>
      <rPr>
        <sz val="10"/>
        <rFont val="Calibri"/>
        <family val="2"/>
      </rPr>
      <t xml:space="preserve">(PTPIR </t>
    </r>
    <r>
      <rPr>
        <b/>
        <sz val="10"/>
        <rFont val="Calibri"/>
        <family val="2"/>
      </rPr>
      <t>*</t>
    </r>
    <r>
      <rPr>
        <sz val="10"/>
        <rFont val="Calibri"/>
        <family val="2"/>
      </rPr>
      <t xml:space="preserve"> PTNR)</t>
    </r>
  </si>
  <si>
    <t>= ROY/BOER</t>
  </si>
  <si>
    <t>= WIO/BOER</t>
  </si>
  <si>
    <t>MAPA Effective Date</t>
  </si>
  <si>
    <t>GVPOPB</t>
  </si>
  <si>
    <t>= IF (PDMO &lt; 07/01/2007 or POS = 0, 1, (1-NPR)/(1-BTR * NPR))</t>
  </si>
  <si>
    <t>MAPA</t>
  </si>
  <si>
    <r>
      <rPr>
        <i/>
        <u/>
        <sz val="10"/>
        <rFont val="Arial"/>
        <family val="2"/>
      </rPr>
      <t>Before ACES</t>
    </r>
    <r>
      <rPr>
        <i/>
        <sz val="10"/>
        <color indexed="23"/>
        <rFont val="Arial"/>
        <family val="2"/>
      </rPr>
      <t xml:space="preserve"> </t>
    </r>
    <r>
      <rPr>
        <i/>
        <sz val="10"/>
        <rFont val="Arial"/>
        <family val="2"/>
      </rPr>
      <t>Loss Carry Forward Cr. Rate</t>
    </r>
  </si>
  <si>
    <r>
      <rPr>
        <i/>
        <u val="double"/>
        <sz val="10"/>
        <color indexed="60"/>
        <rFont val="Arial"/>
        <family val="2"/>
      </rPr>
      <t>After ACES</t>
    </r>
    <r>
      <rPr>
        <i/>
        <sz val="10"/>
        <color indexed="23"/>
        <rFont val="Arial"/>
        <family val="2"/>
      </rPr>
      <t xml:space="preserve"> </t>
    </r>
    <r>
      <rPr>
        <i/>
        <sz val="10"/>
        <rFont val="Arial"/>
        <family val="2"/>
      </rPr>
      <t>Loss Carry Forward Cr. Rate</t>
    </r>
  </si>
  <si>
    <r>
      <rPr>
        <i/>
        <u val="double"/>
        <sz val="10"/>
        <color indexed="60"/>
        <rFont val="Arial"/>
        <family val="2"/>
      </rPr>
      <t>After MAPA</t>
    </r>
    <r>
      <rPr>
        <i/>
        <sz val="10"/>
        <color indexed="23"/>
        <rFont val="Arial"/>
        <family val="2"/>
      </rPr>
      <t xml:space="preserve"> </t>
    </r>
    <r>
      <rPr>
        <i/>
        <sz val="10"/>
        <rFont val="Arial"/>
        <family val="2"/>
      </rPr>
      <t>Loss Carry Forward Cr. Rate</t>
    </r>
  </si>
  <si>
    <r>
      <rPr>
        <i/>
        <u/>
        <sz val="10"/>
        <rFont val="Arial"/>
        <family val="2"/>
      </rPr>
      <t>Before ACES</t>
    </r>
    <r>
      <rPr>
        <i/>
        <sz val="10"/>
        <color indexed="23"/>
        <rFont val="Arial"/>
        <family val="2"/>
      </rPr>
      <t xml:space="preserve"> </t>
    </r>
    <r>
      <rPr>
        <i/>
        <sz val="10"/>
        <rFont val="Arial"/>
        <family val="2"/>
      </rPr>
      <t>Section e) Tax Rate</t>
    </r>
  </si>
  <si>
    <r>
      <rPr>
        <i/>
        <u val="double"/>
        <sz val="10"/>
        <color indexed="60"/>
        <rFont val="Arial"/>
        <family val="2"/>
      </rPr>
      <t>After ACES</t>
    </r>
    <r>
      <rPr>
        <b/>
        <i/>
        <sz val="10"/>
        <color indexed="17"/>
        <rFont val="Arial"/>
        <family val="2"/>
      </rPr>
      <t xml:space="preserve"> </t>
    </r>
    <r>
      <rPr>
        <i/>
        <sz val="10"/>
        <rFont val="Arial"/>
        <family val="2"/>
      </rPr>
      <t>Section e) Tax Rate</t>
    </r>
  </si>
  <si>
    <r>
      <rPr>
        <i/>
        <u val="double"/>
        <sz val="10"/>
        <color indexed="60"/>
        <rFont val="Arial"/>
        <family val="2"/>
      </rPr>
      <t xml:space="preserve">After MAPA </t>
    </r>
    <r>
      <rPr>
        <i/>
        <sz val="10"/>
        <rFont val="Arial"/>
        <family val="2"/>
      </rPr>
      <t>Section e) Tax Rate</t>
    </r>
  </si>
  <si>
    <r>
      <t xml:space="preserve">Threshold #1 Price </t>
    </r>
    <r>
      <rPr>
        <i/>
        <u/>
        <sz val="10"/>
        <color indexed="8"/>
        <rFont val="Arial"/>
        <family val="2"/>
      </rPr>
      <t>Before Aces</t>
    </r>
  </si>
  <si>
    <r>
      <t xml:space="preserve">Threshold #1 Price </t>
    </r>
    <r>
      <rPr>
        <i/>
        <u/>
        <sz val="10"/>
        <color indexed="60"/>
        <rFont val="Arial"/>
        <family val="2"/>
      </rPr>
      <t>After Aces</t>
    </r>
  </si>
  <si>
    <r>
      <t xml:space="preserve">Progressive Increment #1 </t>
    </r>
    <r>
      <rPr>
        <i/>
        <u/>
        <sz val="10"/>
        <color indexed="8"/>
        <rFont val="Arial"/>
        <family val="2"/>
      </rPr>
      <t>Before Aces</t>
    </r>
  </si>
  <si>
    <r>
      <t xml:space="preserve">Progressive Increment #1 </t>
    </r>
    <r>
      <rPr>
        <i/>
        <u/>
        <sz val="10"/>
        <color indexed="60"/>
        <rFont val="Arial"/>
        <family val="2"/>
      </rPr>
      <t>After Aces</t>
    </r>
  </si>
  <si>
    <r>
      <t xml:space="preserve">Threshold #2 Price </t>
    </r>
    <r>
      <rPr>
        <u/>
        <sz val="10"/>
        <color indexed="60"/>
        <rFont val="Arial"/>
        <family val="2"/>
      </rPr>
      <t>After Aces</t>
    </r>
  </si>
  <si>
    <r>
      <t xml:space="preserve">Progressive Increment #2 </t>
    </r>
    <r>
      <rPr>
        <i/>
        <u/>
        <sz val="10"/>
        <color indexed="60"/>
        <rFont val="Arial"/>
        <family val="2"/>
      </rPr>
      <t>After Aces</t>
    </r>
  </si>
  <si>
    <r>
      <t xml:space="preserve">Max Price Index Based Rate </t>
    </r>
    <r>
      <rPr>
        <i/>
        <u/>
        <sz val="10"/>
        <color indexed="8"/>
        <rFont val="Arial"/>
        <family val="2"/>
      </rPr>
      <t>Before Aces</t>
    </r>
  </si>
  <si>
    <r>
      <t xml:space="preserve">Max Price Index Based Rate </t>
    </r>
    <r>
      <rPr>
        <i/>
        <u/>
        <sz val="10"/>
        <color indexed="60"/>
        <rFont val="Arial"/>
        <family val="2"/>
      </rPr>
      <t>After Aces</t>
    </r>
  </si>
  <si>
    <t>= IF (PDMO &lt; 1/1/2014, QCECR = 20% , QCECR = 0%)</t>
  </si>
  <si>
    <t>= IF (PDMO &lt; 07/01/2007 then $40.00, else $30.00)</t>
  </si>
  <si>
    <t>= IF (PDMO &lt; 07/01/2007 then 0.25%, else 0.40%)</t>
  </si>
  <si>
    <t>= IF (PDMO &lt; 07/01/2007 then 0.25%, else 0.10%)</t>
  </si>
  <si>
    <t>= IF (PDMO &lt; 07/01/2007 then 25%, else 50%)</t>
  </si>
  <si>
    <t>= IF (PDMO &lt; 07/01/2007, then 22.5%, else, IF (PDMO &lt; 12/31/2013, 25%, else 35%))</t>
  </si>
  <si>
    <t>= IF (TCR + TRYE + NDCPT + TPTD + (DV) BEGB &lt; 0, 1, 0)</t>
  </si>
  <si>
    <r>
      <t xml:space="preserve">= IF (GVPOP &gt; 0, 0, </t>
    </r>
    <r>
      <rPr>
        <b/>
        <sz val="12"/>
        <rFont val="Calibri"/>
        <family val="2"/>
      </rPr>
      <t>-</t>
    </r>
    <r>
      <rPr>
        <sz val="10"/>
        <rFont val="Calibri"/>
        <family val="2"/>
      </rPr>
      <t xml:space="preserve"> GVPOP </t>
    </r>
    <r>
      <rPr>
        <b/>
        <sz val="10"/>
        <rFont val="Calibri"/>
        <family val="2"/>
      </rPr>
      <t>*</t>
    </r>
    <r>
      <rPr>
        <sz val="10"/>
        <rFont val="Calibri"/>
        <family val="2"/>
      </rPr>
      <t xml:space="preserve"> PTMTR)</t>
    </r>
  </si>
  <si>
    <t>= IF (After 12/2006 and before 1/2010 and part of Kuparuk River Unit, then BNDCPT/9 * Adj Factor, else TOI + GOAE + AVT + NOP + AANOH)</t>
  </si>
  <si>
    <r>
      <t xml:space="preserve">= IF (After 12/2006 and before 1/2010 and part of Kuparuk River Unit, then sum NDCPT from April 2006 to end of year, else zero).  </t>
    </r>
    <r>
      <rPr>
        <b/>
        <sz val="10"/>
        <color indexed="8"/>
        <rFont val="Calibri"/>
        <family val="2"/>
      </rPr>
      <t>Enter this information</t>
    </r>
  </si>
  <si>
    <t>OS</t>
  </si>
  <si>
    <t>Outside Substances</t>
  </si>
  <si>
    <t>US</t>
  </si>
  <si>
    <t>Unitized Substances</t>
  </si>
  <si>
    <t>KT</t>
  </si>
  <si>
    <t>Kuparuk Tariff</t>
  </si>
  <si>
    <t>01</t>
  </si>
  <si>
    <t>REVPD</t>
  </si>
  <si>
    <t>Revision Principal Difference Amount</t>
  </si>
  <si>
    <t>REVID</t>
  </si>
  <si>
    <t>Revision Interest Difference Amount</t>
  </si>
  <si>
    <t>REVTD</t>
  </si>
  <si>
    <t>Revision Total Difference Amount</t>
  </si>
  <si>
    <t>= Interest owed based on REVPD</t>
  </si>
  <si>
    <t>= REVPD + REVID</t>
  </si>
  <si>
    <t>11 AAC 83.241(a)(2)(B)</t>
  </si>
  <si>
    <t>Gross Value at Point of Production per Barrel</t>
  </si>
  <si>
    <t>11 AAC 83.241(b)(3)</t>
  </si>
  <si>
    <t>= MAX(PTPI + PTSE, PTMT)</t>
  </si>
  <si>
    <t>11 AAC 83.209(b)</t>
  </si>
  <si>
    <t>Total Credits (Gross Revenue)  Calculation
 is Based on WIO Volumes * Well Head Price</t>
  </si>
  <si>
    <t>Gross Value Reduction</t>
  </si>
  <si>
    <t>= GVPOP + GVR</t>
  </si>
  <si>
    <t xml:space="preserve">Petroleum Production Tax Lease Allowance net revenue per BOE </t>
  </si>
  <si>
    <t>= IF (PTWIO = 0, then 0, else - PTNR / [(PTWIO/NPDF)])</t>
  </si>
  <si>
    <t>11 AAC 83.241(a)</t>
  </si>
  <si>
    <t>11 AAC 83.241(b)(3)(A)</t>
  </si>
  <si>
    <t>11 AAC 83.241(b)(2) &amp; (b)(3)(A)</t>
  </si>
  <si>
    <t>GVR</t>
  </si>
  <si>
    <r>
      <t xml:space="preserve">= [ </t>
    </r>
    <r>
      <rPr>
        <b/>
        <sz val="12"/>
        <color theme="1"/>
        <rFont val="Calibri"/>
        <family val="2"/>
        <scheme val="minor"/>
      </rPr>
      <t>-</t>
    </r>
    <r>
      <rPr>
        <sz val="10"/>
        <color theme="1"/>
        <rFont val="Calibri"/>
        <family val="2"/>
        <scheme val="minor"/>
      </rPr>
      <t xml:space="preserve"> QCECR * IF (PDM0 &lt; 7/2007, QCE), else (50% * QCE  + (50% * QCE) / (1 + NPAR))]</t>
    </r>
  </si>
  <si>
    <t>User Input cell</t>
  </si>
  <si>
    <t>= CFCR * PTLB</t>
  </si>
  <si>
    <r>
      <rPr>
        <sz val="10"/>
        <rFont val="Calibri"/>
        <family val="2"/>
      </rPr>
      <t>Petroleum Production Tax Lease Allowance</t>
    </r>
    <r>
      <rPr>
        <sz val="10"/>
        <color indexed="8"/>
        <rFont val="Calibri"/>
        <family val="2"/>
      </rPr>
      <t xml:space="preserve"> before credits</t>
    </r>
  </si>
  <si>
    <t>11 AAC 83.241((b)(2) &amp; (c)</t>
  </si>
  <si>
    <t>http://dog.dnr.alaska.gov/Royalty/ReportingInstructions.htm</t>
  </si>
  <si>
    <t xml:space="preserve">                  </t>
  </si>
  <si>
    <t>For a complete listing of the NPSL instructions, go to the Division of Oil and Gas website at:</t>
  </si>
  <si>
    <t>READ ME INSTRUCTIONS</t>
  </si>
  <si>
    <t>J</t>
  </si>
  <si>
    <t>Per Barrel Credits</t>
  </si>
  <si>
    <t>K</t>
  </si>
  <si>
    <t>PBC</t>
  </si>
  <si>
    <t>Petroleum Production Inputs</t>
  </si>
  <si>
    <t>= ACR, OIL</t>
  </si>
  <si>
    <t>= SUM(SV TO AA)</t>
  </si>
  <si>
    <t>= RV + FC</t>
  </si>
  <si>
    <t>= WIO - OS</t>
  </si>
  <si>
    <t>= ROY - RIK</t>
  </si>
  <si>
    <t xml:space="preserve"> = ROY - RIK</t>
  </si>
  <si>
    <t>= SV</t>
  </si>
  <si>
    <t>Abandonment Cost (Based on US Volumes, If none, then use WIO Volumes)</t>
  </si>
  <si>
    <t>= IF(PDMO&gt;12/31/2013,0, IF(PDMO&lt; 7/1/2007, MIN (Max Rate Before Aces), MAX(0, (PTNRB - Threshold #1)*Multiplier #1)), MIN(Max Rate After Aces), MAX(0, (MIN(PTNRB, Threshold #2)-Threshold #1)*Multiplier #1+MAX(0, (PTNRB - Threshold #2)*Multiplier #2)))))</t>
  </si>
  <si>
    <t>= (WIO, OIL) - (ROY, OIL)
 (Only Product codes of O and N From VV Report)</t>
  </si>
  <si>
    <t>= ROUND((US*WH)+SADJ, 2)</t>
  </si>
  <si>
    <t>= ROUND(ROY*WH, 2)</t>
  </si>
  <si>
    <t>= ROUND(US*ACR, 2)</t>
  </si>
  <si>
    <t>= ROUND(WIO*CAPFR, 2)</t>
  </si>
  <si>
    <t>= ROUND((WIO*WH)+SADJ, 2)</t>
  </si>
  <si>
    <t>223001A000</t>
  </si>
  <si>
    <t>GVRR</t>
  </si>
  <si>
    <t>Gross Value Reduction Rate</t>
  </si>
  <si>
    <t>W</t>
  </si>
  <si>
    <t>DEF</t>
  </si>
  <si>
    <t>= ' VV-Example ABC'!G60 + ' VV-Example DEF'!G60</t>
  </si>
  <si>
    <t>NGVROC</t>
  </si>
  <si>
    <t>GVROC</t>
  </si>
  <si>
    <t>DBGVR</t>
  </si>
  <si>
    <r>
      <t xml:space="preserve">= </t>
    </r>
    <r>
      <rPr>
        <b/>
        <sz val="12"/>
        <rFont val="Arial"/>
        <family val="2"/>
      </rPr>
      <t>-</t>
    </r>
    <r>
      <rPr>
        <b/>
        <sz val="8"/>
        <rFont val="Arial"/>
        <family val="2"/>
      </rPr>
      <t xml:space="preserve"> (' VV-Example ABC'!G55 + ' VV-Example ABC'!G73)</t>
    </r>
  </si>
  <si>
    <r>
      <t xml:space="preserve"> = </t>
    </r>
    <r>
      <rPr>
        <b/>
        <sz val="12"/>
        <rFont val="Arial"/>
        <family val="2"/>
      </rPr>
      <t>-</t>
    </r>
    <r>
      <rPr>
        <b/>
        <sz val="8"/>
        <rFont val="Arial"/>
        <family val="2"/>
      </rPr>
      <t xml:space="preserve"> (' VV-Example DEF'!G55 + ' VV-Example DEF'!G73)</t>
    </r>
  </si>
  <si>
    <t>= ' VV-Example ABC'!G58 + ' VV-Example ABC'!G78</t>
  </si>
  <si>
    <t>= ' VV-Example DEF'!G58 + ' VV-Example DEF'!G78</t>
  </si>
  <si>
    <t>= ' VV-Example DEF'!G56 + ' VV-Example DEF'!G74</t>
  </si>
  <si>
    <t>= ' VV-Example ABC'!G56 + ' VV-Example ABC'!G74</t>
  </si>
  <si>
    <t>Total Credits (From VV Reports)</t>
  </si>
  <si>
    <t>= DEV</t>
  </si>
  <si>
    <t>= TAD Rev 1 - TAD Rev 0</t>
  </si>
  <si>
    <t>DV Development Acct Credit Ending Balance</t>
  </si>
  <si>
    <t>NP Development Acct Credit Ending Balance</t>
  </si>
  <si>
    <t>PPT credits development account (From PT)</t>
  </si>
  <si>
    <t>Total Abandonment Cost (From VV)</t>
  </si>
  <si>
    <t>Loss Carry Forward credit (From PT)</t>
  </si>
  <si>
    <t>Petroleum Production Tax Lease Allowance (From PT)</t>
  </si>
  <si>
    <t>Total Royalty Expense Amount (From VV)</t>
  </si>
  <si>
    <r>
      <t xml:space="preserve">= </t>
    </r>
    <r>
      <rPr>
        <b/>
        <sz val="14"/>
        <color theme="1"/>
        <rFont val="Calibri"/>
        <family val="2"/>
        <scheme val="minor"/>
      </rPr>
      <t>-</t>
    </r>
    <r>
      <rPr>
        <sz val="10"/>
        <color theme="1"/>
        <rFont val="Calibri"/>
        <family val="2"/>
        <scheme val="minor"/>
      </rPr>
      <t xml:space="preserve"> [(WIO </t>
    </r>
    <r>
      <rPr>
        <b/>
        <sz val="10"/>
        <color theme="1"/>
        <rFont val="Calibri"/>
        <family val="2"/>
        <scheme val="minor"/>
      </rPr>
      <t>*</t>
    </r>
    <r>
      <rPr>
        <sz val="10"/>
        <color theme="1"/>
        <rFont val="Calibri"/>
        <family val="2"/>
        <scheme val="minor"/>
      </rPr>
      <t xml:space="preserve"> WH) + SADJ]
(ALL Product Codes From VV Reports)</t>
    </r>
  </si>
  <si>
    <r>
      <t xml:space="preserve">= IF (PDMO &lt; 07/01/2007 then </t>
    </r>
    <r>
      <rPr>
        <b/>
        <sz val="12"/>
        <color theme="1"/>
        <rFont val="Calibri"/>
        <family val="2"/>
        <scheme val="minor"/>
      </rPr>
      <t>-</t>
    </r>
    <r>
      <rPr>
        <sz val="10"/>
        <color theme="1"/>
        <rFont val="Calibri"/>
        <family val="2"/>
        <scheme val="minor"/>
      </rPr>
      <t xml:space="preserve"> 20%, else IF (PDMO &lt; 01/01/2014, </t>
    </r>
    <r>
      <rPr>
        <b/>
        <sz val="12"/>
        <color theme="1"/>
        <rFont val="Calibri"/>
        <family val="2"/>
        <scheme val="minor"/>
      </rPr>
      <t>-</t>
    </r>
    <r>
      <rPr>
        <sz val="10"/>
        <color theme="1"/>
        <rFont val="Calibri"/>
        <family val="2"/>
        <scheme val="minor"/>
      </rPr>
      <t xml:space="preserve"> 25%, else </t>
    </r>
    <r>
      <rPr>
        <b/>
        <sz val="12"/>
        <color theme="1"/>
        <rFont val="Calibri"/>
        <family val="2"/>
        <scheme val="minor"/>
      </rPr>
      <t>-</t>
    </r>
    <r>
      <rPr>
        <sz val="10"/>
        <color theme="1"/>
        <rFont val="Calibri"/>
        <family val="2"/>
        <scheme val="minor"/>
      </rPr>
      <t xml:space="preserve"> 35%))</t>
    </r>
  </si>
  <si>
    <t>TVGVR</t>
  </si>
  <si>
    <t>F</t>
  </si>
  <si>
    <t>C</t>
  </si>
  <si>
    <t>Qualified Capital Expenditure Credit Calculation</t>
  </si>
  <si>
    <t>E</t>
  </si>
  <si>
    <t>Tax Based On Price Index Liability</t>
  </si>
  <si>
    <t>= WIO (bbls) +  WIOB (WIO (mcf)/6) FROM VV REPORTS</t>
  </si>
  <si>
    <t>= ROY (bbls) + ROYB (ROY (mcf)/6) FROM VV REPORTS</t>
  </si>
  <si>
    <r>
      <t xml:space="preserve">= IF (PDMO &gt; 12/1/2013, DBGVR = </t>
    </r>
    <r>
      <rPr>
        <b/>
        <sz val="12"/>
        <rFont val="Calibri"/>
        <family val="2"/>
        <scheme val="minor"/>
      </rPr>
      <t>-</t>
    </r>
    <r>
      <rPr>
        <sz val="10"/>
        <rFont val="Calibri"/>
        <family val="2"/>
        <scheme val="minor"/>
      </rPr>
      <t xml:space="preserve"> 5, 0)</t>
    </r>
  </si>
  <si>
    <r>
      <t xml:space="preserve">= IF (PDMO &lt; 7/1/2007, </t>
    </r>
    <r>
      <rPr>
        <b/>
        <sz val="12"/>
        <rFont val="Calibri"/>
        <family val="2"/>
      </rPr>
      <t xml:space="preserve">- </t>
    </r>
    <r>
      <rPr>
        <sz val="10"/>
        <rFont val="Calibri"/>
        <family val="2"/>
      </rPr>
      <t xml:space="preserve">20%, IF (PDMO &lt; 1/1/2014, </t>
    </r>
    <r>
      <rPr>
        <b/>
        <sz val="12"/>
        <rFont val="Calibri"/>
        <family val="2"/>
      </rPr>
      <t xml:space="preserve">- </t>
    </r>
    <r>
      <rPr>
        <sz val="10"/>
        <rFont val="Calibri"/>
        <family val="2"/>
      </rPr>
      <t xml:space="preserve">25%, 
</t>
    </r>
    <r>
      <rPr>
        <b/>
        <sz val="12"/>
        <rFont val="Calibri"/>
        <family val="2"/>
      </rPr>
      <t xml:space="preserve">- </t>
    </r>
    <r>
      <rPr>
        <sz val="10"/>
        <rFont val="Calibri"/>
        <family val="2"/>
      </rPr>
      <t xml:space="preserve">35%) </t>
    </r>
    <r>
      <rPr>
        <b/>
        <sz val="10"/>
        <color indexed="8"/>
        <rFont val="Calibri"/>
        <family val="2"/>
      </rPr>
      <t xml:space="preserve">* </t>
    </r>
    <r>
      <rPr>
        <sz val="10"/>
        <color indexed="8"/>
        <rFont val="Calibri"/>
        <family val="2"/>
      </rPr>
      <t xml:space="preserve"> (PTLR)</t>
    </r>
  </si>
  <si>
    <t>DBNGVR</t>
  </si>
  <si>
    <t>= IF (WIO = 0, 0, (TV - RYE)  / (WIO - ROY))
 (Only Product codes of O and N From VV Reports)</t>
  </si>
  <si>
    <t>Dollar per barrel for Gross Value Reduction Oil</t>
  </si>
  <si>
    <t>Dollar Per Barrel Credit Amount for Non-Gross Value Reduction Oil</t>
  </si>
  <si>
    <t>BTOP</t>
  </si>
  <si>
    <t>Barrels of taxable oil produced</t>
  </si>
  <si>
    <t>GVRV</t>
  </si>
  <si>
    <t>Gross Value Reduction Volumes Net Of Royalty</t>
  </si>
  <si>
    <t>GVRV FROM VV REPORT
(Only Product codes of O and N From VV Report)</t>
  </si>
  <si>
    <t>Total Value in Dollars (Based on US Volumes, If none, then use WIO Volumes)</t>
  </si>
  <si>
    <t>Total Value in Dollars</t>
  </si>
  <si>
    <t>Gross Value Reduction Oil Credit Amount</t>
  </si>
  <si>
    <t>Non-Gross Value Reduction Oil Credit Amount</t>
  </si>
  <si>
    <t>GVPOPA</t>
  </si>
  <si>
    <t>Gross Value at Point of Production Adjusted for Gross Value Reduction</t>
  </si>
  <si>
    <t xml:space="preserve"> = NDCPT + TPTD + GVPOPA</t>
  </si>
  <si>
    <t>= ROUND(GVRV * WH, 2)</t>
  </si>
  <si>
    <t>=IF (SADJ = $0, 0, 99 IN Q. MEASUREMENT CELL)</t>
  </si>
  <si>
    <t>Total Value for Oil &amp; Gas that Qualify for the Gross Value Reduction, (Based on GVRV)</t>
  </si>
  <si>
    <t>= TOI + SUM(GOAE:CAPF)</t>
  </si>
  <si>
    <t>= IF (PREV &gt; 0, 0, PREV)</t>
  </si>
  <si>
    <t>= BEGB + TOTDC + CPR</t>
  </si>
  <si>
    <t>= ROUND (IF (PEB &lt; 0, 0, (BEGB + PEB) * 0.5), 2)</t>
  </si>
  <si>
    <t>= ROUND (PRIN * IR, 2)</t>
  </si>
  <si>
    <t>= PEB + AINT</t>
  </si>
  <si>
    <t>= IF(DEV &gt; 0, 0, - ENDB)</t>
  </si>
  <si>
    <t>= ROUND (DEV * NPR, 2)</t>
  </si>
  <si>
    <t>=SUM (EPPD:AAOH)</t>
  </si>
  <si>
    <t>= ROUND (TOI * OVHR, 2)</t>
  </si>
  <si>
    <t>=SUM (PO:AAOH)</t>
  </si>
  <si>
    <t>=SUM (GOAE:AANOH)</t>
  </si>
  <si>
    <t>= IF (PREV &gt; 0, PREV, 0)</t>
  </si>
  <si>
    <t>= ENDING BALANCE FROM LAST MONTH</t>
  </si>
  <si>
    <r>
      <t xml:space="preserve">= TWIO </t>
    </r>
    <r>
      <rPr>
        <b/>
        <sz val="12"/>
        <color theme="1"/>
        <rFont val="Calibri"/>
        <family val="2"/>
        <scheme val="minor"/>
      </rPr>
      <t>-</t>
    </r>
    <r>
      <rPr>
        <sz val="10"/>
        <color theme="1"/>
        <rFont val="Calibri"/>
        <family val="2"/>
        <scheme val="minor"/>
      </rPr>
      <t xml:space="preserve"> TRV</t>
    </r>
  </si>
  <si>
    <r>
      <t xml:space="preserve">= (1+ IR) ^12 </t>
    </r>
    <r>
      <rPr>
        <b/>
        <sz val="12"/>
        <color theme="1"/>
        <rFont val="Calibri"/>
        <family val="2"/>
        <scheme val="minor"/>
      </rPr>
      <t>-</t>
    </r>
    <r>
      <rPr>
        <sz val="10"/>
        <color theme="1"/>
        <rFont val="Calibri"/>
        <family val="2"/>
        <scheme val="minor"/>
      </rPr>
      <t xml:space="preserve"> 1 </t>
    </r>
  </si>
  <si>
    <t>= IF(ANS&lt;$15/bbl, 0, IF(ANS&lt;$17.50/bbl, 1%, IF(ANS&lt;$20/bbl, 2%, IF(ANS&lt;$25/bbl, 3%, 4% When ANS&gt;=$25/bbl))))</t>
  </si>
  <si>
    <t>Settlement Adjustment, (IF SADJ = $0, Enter 0, Otherwise  Enter 99 in QM Cell)</t>
  </si>
  <si>
    <t>PPT FORM</t>
  </si>
  <si>
    <t>= 'PT-Example'!L100</t>
  </si>
  <si>
    <t>= 'PT-Example'!L102</t>
  </si>
  <si>
    <t>= 'PT-Example'!L103</t>
  </si>
  <si>
    <t>= BEGB + TCR (ABC &amp; DEF)+ TDB</t>
  </si>
  <si>
    <t>= TOI + TDC + TRYE (ABC &amp; DEF)</t>
  </si>
  <si>
    <t>Added Allocation Codes due to SB 21</t>
  </si>
  <si>
    <t>Revised Allocation Codes due to SB 21</t>
  </si>
  <si>
    <t>(VOLUME/VALUE)</t>
  </si>
  <si>
    <t>(ACCOUNT)</t>
  </si>
  <si>
    <t>(PTLA)</t>
  </si>
  <si>
    <t>= DV GOAE + QCE + CAPF</t>
  </si>
  <si>
    <t>= DV TOI + RTO + EXCAP</t>
  </si>
  <si>
    <t>AS 43.55.024(d)</t>
  </si>
  <si>
    <t>State-wide total production net of royalty on a BOE per day</t>
  </si>
  <si>
    <t>= IF (PDMO &gt; 12/1/13, IF(GVPOPB&lt;$80, $8, IF(GVPOPB&lt;$90, $7, IF(GVPOPB&lt;$100, $6, IF(GVPOPB&lt;$110, $5, IF(GVPOPB&lt;$120, $4, IF(GVPOPB&lt;$130, $3, IF(GVPOPB&lt;$140, $2, IF(GVPOPB&lt;$150, $1, $0))))))),0))</t>
  </si>
  <si>
    <t>Added Allocation Codes due to Small Producer Credit Updates</t>
  </si>
  <si>
    <t>EXAMPLE TEMPLATE, FORMATTED FOR FILING</t>
  </si>
  <si>
    <t>ABC Unit</t>
  </si>
  <si>
    <t>DEF Unit</t>
  </si>
  <si>
    <t>Petroleum Production Tax Lease Allowance Before Credits Calculation</t>
  </si>
  <si>
    <t>= ROUND(WIOB*ACR, 2)</t>
  </si>
  <si>
    <t>QSPC</t>
  </si>
  <si>
    <t>DATE OF LESSEE'S FIRST AK OIL OR GAS  PRODUCTION</t>
  </si>
  <si>
    <t>Does Lessee Qualify for the Small Producer Credit? (1 = YES, 2 = NO)</t>
  </si>
  <si>
    <t>= IF DATE OF FIRST AK COMMERCIAL OIL OR GAS  PRODUCTION IN CELL F14  &gt;= 5/1/2016, NO, IF(YEAR(PDMO)&lt;2017, YES, IF PDMO &lt;= 9 calendar years after calendar year end of date in cell F14, then YES, OTHERWISE NO)</t>
  </si>
  <si>
    <t>QGVR</t>
  </si>
  <si>
    <t>Does Lessee Qualify for the Gross Value Reduction? (1 = YES, 2 = NO)</t>
  </si>
  <si>
    <t>43.55.160 (f) &amp; (g)</t>
  </si>
  <si>
    <t>HB 247 Effective Date</t>
  </si>
  <si>
    <t>HB247</t>
  </si>
  <si>
    <t xml:space="preserve">= IF TWIO OR (PR) TOI  do not equal zero, then 0 , else =IF (PDMO &lt; 1/1/2017 then PTNR, else, NDCPT + TPTD </t>
  </si>
  <si>
    <t>11 AAC 83.241 (f)</t>
  </si>
  <si>
    <r>
      <t xml:space="preserve">= IF (SWTPD = 0, 0, IF QSPC = 2 WHICH MEANS NO, 0, </t>
    </r>
    <r>
      <rPr>
        <b/>
        <sz val="12"/>
        <rFont val="Calibri"/>
        <family val="2"/>
      </rPr>
      <t>-</t>
    </r>
    <r>
      <rPr>
        <sz val="10"/>
        <rFont val="Calibri"/>
        <family val="2"/>
      </rPr>
      <t>1</t>
    </r>
    <r>
      <rPr>
        <sz val="14"/>
        <rFont val="Calibri"/>
        <family val="2"/>
      </rPr>
      <t xml:space="preserve"> </t>
    </r>
    <r>
      <rPr>
        <b/>
        <vertAlign val="subscript"/>
        <sz val="16"/>
        <rFont val="Calibri"/>
        <family val="2"/>
      </rPr>
      <t>*</t>
    </r>
    <r>
      <rPr>
        <b/>
        <sz val="11"/>
        <rFont val="Calibri"/>
        <family val="2"/>
      </rPr>
      <t xml:space="preserve"> </t>
    </r>
    <r>
      <rPr>
        <sz val="10"/>
        <rFont val="Calibri"/>
        <family val="2"/>
      </rPr>
      <t>[IF(SWTPD&lt;50,000 bbls,$1,000,000, IF(SWTPD&gt;100,000 bbls,0,
$1,000,000</t>
    </r>
    <r>
      <rPr>
        <b/>
        <sz val="10"/>
        <rFont val="Calibri"/>
        <family val="2"/>
      </rPr>
      <t>*</t>
    </r>
    <r>
      <rPr>
        <sz val="10"/>
        <rFont val="Calibri"/>
        <family val="2"/>
      </rPr>
      <t>(1 - (2</t>
    </r>
    <r>
      <rPr>
        <b/>
        <sz val="10"/>
        <rFont val="Calibri"/>
        <family val="2"/>
      </rPr>
      <t>*</t>
    </r>
    <r>
      <rPr>
        <sz val="10"/>
        <rFont val="Calibri"/>
        <family val="2"/>
      </rPr>
      <t>(SWTPD-50,000 bbls))/100,000 bbls))])</t>
    </r>
  </si>
  <si>
    <t>= ENDING BALANCE FROM LAST MONTH, IF DV ENDB IS &gt; 0, OTHERWISE ENTER 0.</t>
  </si>
  <si>
    <t xml:space="preserve"> = IF (TWIO OR TOI (PR) do not equal 0, IF (PDMO&gt;=1/1/2017, then MAX (NDCPT + TPTD + GVPOP), 0 else MAX of PTNR or 0)</t>
  </si>
  <si>
    <t>ALASKA DNR - OIL &amp; GAS  UPDATED 201701</t>
  </si>
  <si>
    <t>Net Credit Augmentation Rate</t>
  </si>
  <si>
    <t>NCAR</t>
  </si>
  <si>
    <t>000012345N06201700</t>
  </si>
  <si>
    <t>Added QGVR Code due to HB 247 and added NCAR to correctly calculate PTLA</t>
  </si>
  <si>
    <t>Changes to the formulas due to HB 247</t>
  </si>
  <si>
    <t>=IF QGVR = 1 then, = IF (PDMO &lt; 1/1/2014, 0, else, (All TVGVRs) * GVRR, 20%
ALL Product Codes From VV Reports</t>
  </si>
  <si>
    <t>This set of four templates is provided to offer support in filing NPSL reports. The tabs with the suffix "- Example" provide detailed information about each of the entries on the NPSL reports; the volumes/value (VV), account (AC) and the production tax lease allowance (PT) forms.
The spreadsheet form “PT-Example” contains the most detailed information.  The allocation codes highlighted in green include the allocation code QGVR that has most recently been added on the PT-Example tab due to HB 247 and NCAR to correctly calculate the PTLA. The allocation codes highlighted in off red include PTLB and PTLR are due to changes to the formulas due to HB 247 and the codes highlighted in yellow have been modified due to the new regulations or a correction to better reflect what the regulations intended to infer.  For each entry we include the following information:
1.  A short acronym for the allocation code.
2.  A short description of the allocation code. 
3.  A description of the source of the entry (other NPSL report (AC or VV), information required to be input by the lessee that is not from another report (marked in blue), or the formula used to determine the entry)
4.  A regulatory cite so the viewer can tie the calculations required to the regulations.
5.  The amount of the entry itself.
To aid in following the formulas, in columns J2 thru L32 of the PT-Example worksheet, we include some factors used in the calculations in the fixed variables table.
Much of the information used in the PT form comes from the AC form.  The AC form is not being modified in response to the regulations, and is shown here to illustrate the relationship between the AC and PT forms. In the AC form, the entries in yellow show where the PT form calculations feed back into the AC form.
The VV form provides information that feeds into the AC form, and also, in some cases, feeds directly into the PT form.</t>
  </si>
  <si>
    <t>= PTBC +  PTSPC + GVROC + NGRVOC</t>
  </si>
  <si>
    <r>
      <t xml:space="preserve">= IF (PDMO &gt;= 1/1/2017, = IF (POS=1, 1/(1 </t>
    </r>
    <r>
      <rPr>
        <b/>
        <sz val="10"/>
        <color theme="1"/>
        <rFont val="Calibri"/>
        <family val="2"/>
        <scheme val="minor"/>
      </rPr>
      <t>-</t>
    </r>
    <r>
      <rPr>
        <sz val="10"/>
        <color theme="1"/>
        <rFont val="Calibri"/>
        <family val="2"/>
        <scheme val="minor"/>
      </rPr>
      <t xml:space="preserve"> (BTR*NPR)), then 1 else 1)</t>
    </r>
  </si>
  <si>
    <t>Corrected Formulas to properly calculate the PTLA</t>
  </si>
  <si>
    <t>=IF (TWIO=0 AND (PR)TOI = 0, 0, IF(PTNR&gt;0, 0, IF(PDMO&gt;=HB247_Effective_Date, (-BTR*(GVPOP+NDCPT+TPTD)*NPDF) - (BTR*GVR*NCAR)), - BTR*PTNR*NPDF))</t>
  </si>
  <si>
    <r>
      <t xml:space="preserve">= IF (PTTSPC or SWTPD = 0, then 0, IF ((PTMT &gt; PTSE + PTPI, 
and (7/2007 =&lt; PDMO &lt; 1/2014), then 0, else </t>
    </r>
    <r>
      <rPr>
        <b/>
        <sz val="12"/>
        <rFont val="Calibri"/>
        <family val="2"/>
        <scheme val="minor"/>
      </rPr>
      <t>-</t>
    </r>
    <r>
      <rPr>
        <sz val="10"/>
        <rFont val="Calibri"/>
        <family val="2"/>
        <scheme val="minor"/>
      </rPr>
      <t xml:space="preserve"> min (max (IF (PDMO &lt; 7/2007, PTSE, PTSE+PTPI), PTMT),
 </t>
    </r>
    <r>
      <rPr>
        <b/>
        <sz val="12"/>
        <rFont val="Calibri"/>
        <family val="2"/>
        <scheme val="minor"/>
      </rPr>
      <t>-</t>
    </r>
    <r>
      <rPr>
        <sz val="10"/>
        <rFont val="Calibri"/>
        <family val="2"/>
        <scheme val="minor"/>
      </rPr>
      <t xml:space="preserve"> PTTSPC * (PWIOD / SWTPD)*IF(AND(PDMO&gt;=HB247_Effective_Date,PTBC&gt;PTMT),NCAR,1)))</t>
    </r>
  </si>
  <si>
    <r>
      <t>=IF (PDMO &gt;= 1/1/2014, MIN [PTBC + PTSPC , DBGVR * GVRV * IF (AND(PDMO&gt;=HB247_Effective_Date,PTBC&gt;PTMT), NCAR,1)],</t>
    </r>
    <r>
      <rPr>
        <sz val="10"/>
        <rFont val="Calibri"/>
        <family val="2"/>
        <scheme val="minor"/>
      </rPr>
      <t xml:space="preserve"> $0.00)</t>
    </r>
  </si>
  <si>
    <r>
      <t xml:space="preserve">= </t>
    </r>
    <r>
      <rPr>
        <b/>
        <sz val="12"/>
        <rFont val="Calibri"/>
        <family val="2"/>
        <scheme val="minor"/>
      </rPr>
      <t>-</t>
    </r>
    <r>
      <rPr>
        <sz val="10"/>
        <rFont val="Calibri"/>
        <family val="2"/>
        <scheme val="minor"/>
      </rPr>
      <t xml:space="preserve"> MIN [DBNGVR </t>
    </r>
    <r>
      <rPr>
        <b/>
        <sz val="10"/>
        <rFont val="Calibri"/>
        <family val="2"/>
        <scheme val="minor"/>
      </rPr>
      <t>*</t>
    </r>
    <r>
      <rPr>
        <sz val="10"/>
        <rFont val="Calibri"/>
        <family val="2"/>
        <scheme val="minor"/>
      </rPr>
      <t xml:space="preserve"> (BTOP </t>
    </r>
    <r>
      <rPr>
        <b/>
        <sz val="12"/>
        <rFont val="Calibri"/>
        <family val="2"/>
        <scheme val="minor"/>
      </rPr>
      <t>-</t>
    </r>
    <r>
      <rPr>
        <sz val="10"/>
        <rFont val="Calibri"/>
        <family val="2"/>
        <scheme val="minor"/>
      </rPr>
      <t xml:space="preserve"> GVRV) * IF(AND(PDMO&gt;=HB247_Effective_Date,PTBC&gt;PTMT),NCAR,1), MAX (PTBC + PTSPC + GVROC </t>
    </r>
    <r>
      <rPr>
        <b/>
        <sz val="12"/>
        <rFont val="Calibri"/>
        <family val="2"/>
        <scheme val="minor"/>
      </rPr>
      <t>-</t>
    </r>
    <r>
      <rPr>
        <sz val="10"/>
        <rFont val="Calibri"/>
        <family val="2"/>
        <scheme val="minor"/>
      </rPr>
      <t xml:space="preserve"> PTMT,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</si>
</sst>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7" formatCode="&quot;$&quot;#,##0.00_);\(&quot;$&quot;#,##0.00\)"/>
    <numFmt numFmtId="8" formatCode="&quot;$&quot;#,##0.00_);[Red]\(&quot;$&quot;#,##0.00\)"/>
    <numFmt numFmtId="44" formatCode="_(&quot;$&quot;* #,##0.00_);_(&quot;$&quot;* \(#,##0.00\);_(&quot;$&quot;* &quot;-&quot;??_);_(@_)"/>
    <numFmt numFmtId="43" formatCode="_(* #,##0.00_);_(* \(#,##0.00\);_(* &quot;-&quot;??_);_(@_)"/>
    <numFmt numFmtId="164" formatCode="mm/dd/yyyy"/>
    <numFmt numFmtId="165" formatCode="&quot;$&quot;#,##0.00"/>
    <numFmt numFmtId="166" formatCode="0.0%"/>
    <numFmt numFmtId="167" formatCode="0.000"/>
    <numFmt numFmtId="168" formatCode="[$-409]mmm\-yy;@"/>
    <numFmt numFmtId="169" formatCode="&quot;$&quot;#,##0.00000"/>
    <numFmt numFmtId="170" formatCode="0.00000%"/>
    <numFmt numFmtId="171" formatCode="0.00000"/>
    <numFmt numFmtId="172" formatCode="#,##0.00000_);\(#,##0.00000\)"/>
    <numFmt numFmtId="173" formatCode="&quot;$&quot;#,##0.00000_);[Red]\(&quot;$&quot;#,##0.00000\)"/>
    <numFmt numFmtId="174" formatCode="#,##0.00000_);[Red]\(#,##0.00000\)"/>
    <numFmt numFmtId="175" formatCode="0.0000000"/>
  </numFmts>
  <fonts count="56" x14ac:knownFonts="1">
    <font>
      <sz val="10"/>
      <name val="Arial"/>
    </font>
    <font>
      <sz val="10"/>
      <name val="Arial"/>
      <family val="2"/>
    </font>
    <font>
      <sz val="8"/>
      <name val="Arial"/>
      <family val="2"/>
    </font>
    <font>
      <b/>
      <sz val="8"/>
      <color indexed="20"/>
      <name val="Arial"/>
      <family val="2"/>
    </font>
    <font>
      <sz val="8"/>
      <color indexed="16"/>
      <name val="Arial"/>
      <family val="2"/>
    </font>
    <font>
      <b/>
      <sz val="8"/>
      <name val="Arial"/>
      <family val="2"/>
    </font>
    <font>
      <b/>
      <sz val="14"/>
      <name val="Arial"/>
      <family val="2"/>
    </font>
    <font>
      <sz val="10"/>
      <name val="Arial"/>
      <family val="2"/>
    </font>
    <font>
      <b/>
      <sz val="8"/>
      <name val="Arial"/>
      <family val="2"/>
    </font>
    <font>
      <b/>
      <sz val="12"/>
      <name val="Arial"/>
      <family val="2"/>
    </font>
    <font>
      <sz val="10"/>
      <name val="MS Sans Serif"/>
      <family val="2"/>
    </font>
    <font>
      <b/>
      <sz val="10"/>
      <color indexed="8"/>
      <name val="Calibri"/>
      <family val="2"/>
    </font>
    <font>
      <sz val="10"/>
      <color indexed="8"/>
      <name val="Calibri"/>
      <family val="2"/>
    </font>
    <font>
      <sz val="10"/>
      <name val="Calibri"/>
      <family val="2"/>
    </font>
    <font>
      <b/>
      <sz val="12"/>
      <color indexed="8"/>
      <name val="Calibri"/>
      <family val="2"/>
    </font>
    <font>
      <b/>
      <sz val="10"/>
      <name val="Calibri"/>
      <family val="2"/>
    </font>
    <font>
      <b/>
      <sz val="10"/>
      <name val="Arial"/>
      <family val="2"/>
    </font>
    <font>
      <sz val="10"/>
      <color indexed="17"/>
      <name val="Calibri"/>
      <family val="2"/>
    </font>
    <font>
      <b/>
      <sz val="11"/>
      <name val="Calibri"/>
      <family val="2"/>
    </font>
    <font>
      <b/>
      <sz val="12"/>
      <name val="Calibri"/>
      <family val="2"/>
    </font>
    <font>
      <sz val="14"/>
      <name val="Calibri"/>
      <family val="2"/>
    </font>
    <font>
      <b/>
      <vertAlign val="subscript"/>
      <sz val="16"/>
      <name val="Calibri"/>
      <family val="2"/>
    </font>
    <font>
      <sz val="10"/>
      <color rgb="FF3F3F76"/>
      <name val="Arial"/>
      <family val="2"/>
    </font>
    <font>
      <sz val="10"/>
      <color theme="1"/>
      <name val="Arial"/>
      <family val="2"/>
    </font>
    <font>
      <b/>
      <sz val="12"/>
      <color theme="1"/>
      <name val="Arial"/>
      <family val="2"/>
    </font>
    <font>
      <b/>
      <u/>
      <sz val="12"/>
      <color theme="1"/>
      <name val="Arial"/>
      <family val="2"/>
    </font>
    <font>
      <b/>
      <sz val="11"/>
      <color theme="1"/>
      <name val="Arial"/>
      <family val="2"/>
    </font>
    <font>
      <sz val="10"/>
      <name val="Calibri"/>
      <family val="2"/>
      <scheme val="minor"/>
    </font>
    <font>
      <sz val="10"/>
      <color theme="1"/>
      <name val="Calibri"/>
      <family val="2"/>
      <scheme val="minor"/>
    </font>
    <font>
      <b/>
      <sz val="10"/>
      <name val="Calibri"/>
      <family val="2"/>
      <scheme val="minor"/>
    </font>
    <font>
      <b/>
      <sz val="10"/>
      <color theme="1"/>
      <name val="Arial"/>
      <family val="2"/>
    </font>
    <font>
      <sz val="10"/>
      <color rgb="FFFF0000"/>
      <name val="Calibri"/>
      <family val="2"/>
      <scheme val="minor"/>
    </font>
    <font>
      <sz val="10"/>
      <color theme="1"/>
      <name val="Calibri"/>
      <family val="2"/>
    </font>
    <font>
      <u/>
      <sz val="10"/>
      <color theme="1"/>
      <name val="Arial"/>
      <family val="2"/>
    </font>
    <font>
      <sz val="10"/>
      <color theme="5" tint="-0.249977111117893"/>
      <name val="Arial"/>
      <family val="2"/>
    </font>
    <font>
      <i/>
      <sz val="10"/>
      <color theme="0" tint="-0.499984740745262"/>
      <name val="Arial"/>
      <family val="2"/>
    </font>
    <font>
      <i/>
      <u/>
      <sz val="10"/>
      <name val="Arial"/>
      <family val="2"/>
    </font>
    <font>
      <i/>
      <sz val="10"/>
      <color indexed="23"/>
      <name val="Arial"/>
      <family val="2"/>
    </font>
    <font>
      <i/>
      <sz val="10"/>
      <name val="Arial"/>
      <family val="2"/>
    </font>
    <font>
      <i/>
      <u val="double"/>
      <sz val="10"/>
      <color indexed="60"/>
      <name val="Arial"/>
      <family val="2"/>
    </font>
    <font>
      <i/>
      <sz val="10"/>
      <color theme="1" tint="0.34998626667073579"/>
      <name val="Arial"/>
      <family val="2"/>
    </font>
    <font>
      <b/>
      <i/>
      <sz val="10"/>
      <color indexed="17"/>
      <name val="Arial"/>
      <family val="2"/>
    </font>
    <font>
      <b/>
      <i/>
      <u/>
      <sz val="10"/>
      <color theme="8" tint="-0.249977111117893"/>
      <name val="Arial"/>
      <family val="2"/>
    </font>
    <font>
      <i/>
      <u/>
      <sz val="10"/>
      <color indexed="8"/>
      <name val="Arial"/>
      <family val="2"/>
    </font>
    <font>
      <i/>
      <u/>
      <sz val="10"/>
      <color indexed="60"/>
      <name val="Arial"/>
      <family val="2"/>
    </font>
    <font>
      <u/>
      <sz val="10"/>
      <color indexed="60"/>
      <name val="Arial"/>
      <family val="2"/>
    </font>
    <font>
      <sz val="9"/>
      <color theme="1"/>
      <name val="Arial"/>
      <family val="2"/>
    </font>
    <font>
      <b/>
      <sz val="12"/>
      <color theme="1"/>
      <name val="Calibri"/>
      <family val="2"/>
      <scheme val="minor"/>
    </font>
    <font>
      <b/>
      <sz val="12"/>
      <name val="Calibri"/>
      <family val="2"/>
      <scheme val="minor"/>
    </font>
    <font>
      <u/>
      <sz val="10"/>
      <color theme="10"/>
      <name val="Arial"/>
      <family val="2"/>
    </font>
    <font>
      <u/>
      <sz val="16"/>
      <color theme="10"/>
      <name val="Arial"/>
      <family val="2"/>
    </font>
    <font>
      <b/>
      <sz val="16"/>
      <name val="Arial"/>
      <family val="2"/>
    </font>
    <font>
      <u/>
      <sz val="14"/>
      <color theme="10"/>
      <name val="Arial"/>
      <family val="2"/>
    </font>
    <font>
      <b/>
      <sz val="14"/>
      <color theme="1"/>
      <name val="Calibri"/>
      <family val="2"/>
      <scheme val="minor"/>
    </font>
    <font>
      <b/>
      <sz val="10"/>
      <color theme="1"/>
      <name val="Calibri"/>
      <family val="2"/>
      <scheme val="minor"/>
    </font>
    <font>
      <sz val="10"/>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rgb="FFFFCC99"/>
      </patternFill>
    </fill>
    <fill>
      <patternFill patternType="solid">
        <fgColor theme="0" tint="-0.24994659260841701"/>
        <bgColor indexed="64"/>
      </patternFill>
    </fill>
    <fill>
      <patternFill patternType="solid">
        <fgColor rgb="FFC0C0C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4">
    <xf numFmtId="0" fontId="0" fillId="0" borderId="0"/>
    <xf numFmtId="40" fontId="10" fillId="0" borderId="0" applyFont="0" applyFill="0" applyBorder="0" applyAlignment="0" applyProtection="0"/>
    <xf numFmtId="0" fontId="22" fillId="4" borderId="19" applyNumberFormat="0" applyAlignment="0" applyProtection="0"/>
    <xf numFmtId="0" fontId="10" fillId="0" borderId="0"/>
    <xf numFmtId="0" fontId="23" fillId="0" borderId="0"/>
    <xf numFmtId="0" fontId="7" fillId="0" borderId="0"/>
    <xf numFmtId="0" fontId="10" fillId="0" borderId="0"/>
    <xf numFmtId="0" fontId="7" fillId="0" borderId="0"/>
    <xf numFmtId="0" fontId="10" fillId="0" borderId="0"/>
    <xf numFmtId="9" fontId="1" fillId="0" borderId="0" applyFont="0" applyFill="0" applyBorder="0" applyAlignment="0" applyProtection="0"/>
    <xf numFmtId="9" fontId="23" fillId="0" borderId="0" applyFont="0" applyFill="0" applyBorder="0" applyAlignment="0" applyProtection="0"/>
    <xf numFmtId="0" fontId="49" fillId="0" borderId="0" applyNumberFormat="0" applyFill="0" applyBorder="0" applyAlignment="0" applyProtection="0"/>
    <xf numFmtId="0" fontId="1" fillId="0" borderId="0"/>
    <xf numFmtId="0" fontId="1" fillId="0" borderId="0"/>
  </cellStyleXfs>
  <cellXfs count="393">
    <xf numFmtId="0" fontId="0" fillId="0" borderId="0" xfId="0"/>
    <xf numFmtId="0" fontId="6" fillId="0" borderId="0" xfId="0" applyFont="1" applyAlignment="1" applyProtection="1">
      <alignment vertical="center"/>
    </xf>
    <xf numFmtId="0" fontId="6" fillId="0" borderId="0" xfId="0" applyFont="1" applyFill="1" applyAlignment="1" applyProtection="1">
      <alignment vertical="center"/>
    </xf>
    <xf numFmtId="0" fontId="8" fillId="2" borderId="0" xfId="0" applyFont="1" applyFill="1" applyProtection="1"/>
    <xf numFmtId="0" fontId="23" fillId="0" borderId="0" xfId="4" applyFill="1"/>
    <xf numFmtId="0" fontId="23" fillId="0" borderId="0" xfId="4"/>
    <xf numFmtId="0" fontId="25" fillId="0" borderId="0" xfId="4" applyFont="1" applyAlignment="1">
      <alignment horizontal="left"/>
    </xf>
    <xf numFmtId="0" fontId="6" fillId="0" borderId="0" xfId="4" applyFont="1" applyBorder="1" applyAlignment="1" applyProtection="1">
      <alignment horizontal="center" vertical="center"/>
    </xf>
    <xf numFmtId="0" fontId="6" fillId="0" borderId="0" xfId="4" applyFont="1" applyFill="1" applyAlignment="1" applyProtection="1">
      <alignment horizontal="center" vertical="center"/>
    </xf>
    <xf numFmtId="0" fontId="5" fillId="2" borderId="0" xfId="4" applyFont="1" applyFill="1" applyProtection="1"/>
    <xf numFmtId="0" fontId="2" fillId="2" borderId="0" xfId="4" applyFont="1" applyFill="1" applyAlignment="1" applyProtection="1">
      <alignment horizontal="center"/>
    </xf>
    <xf numFmtId="0" fontId="2" fillId="2" borderId="0" xfId="4" applyFont="1" applyFill="1" applyProtection="1"/>
    <xf numFmtId="0" fontId="5" fillId="5" borderId="0" xfId="4" applyFont="1" applyFill="1" applyProtection="1"/>
    <xf numFmtId="0" fontId="4" fillId="5" borderId="0" xfId="4" applyFont="1" applyFill="1" applyAlignment="1" applyProtection="1">
      <alignment horizontal="center"/>
    </xf>
    <xf numFmtId="0" fontId="2" fillId="7" borderId="0" xfId="8" applyNumberFormat="1" applyFont="1" applyFill="1" applyBorder="1" applyAlignment="1" applyProtection="1">
      <alignment horizontal="center"/>
      <protection locked="0"/>
    </xf>
    <xf numFmtId="0" fontId="4" fillId="5" borderId="0" xfId="4" applyFont="1" applyFill="1" applyProtection="1"/>
    <xf numFmtId="9" fontId="22" fillId="0" borderId="0" xfId="2" applyNumberFormat="1" applyFill="1" applyBorder="1"/>
    <xf numFmtId="165" fontId="22" fillId="0" borderId="0" xfId="2" applyNumberFormat="1" applyFill="1" applyBorder="1"/>
    <xf numFmtId="10" fontId="22" fillId="0" borderId="0" xfId="2" applyNumberFormat="1" applyFill="1" applyBorder="1"/>
    <xf numFmtId="0" fontId="23" fillId="0" borderId="0" xfId="3" applyFont="1" applyFill="1"/>
    <xf numFmtId="0" fontId="23" fillId="0" borderId="0" xfId="3" applyFont="1" applyAlignment="1">
      <alignment horizontal="center"/>
    </xf>
    <xf numFmtId="0" fontId="24" fillId="0" borderId="0" xfId="3" applyFont="1" applyFill="1" applyBorder="1" applyAlignment="1">
      <alignment horizontal="center" wrapText="1"/>
    </xf>
    <xf numFmtId="0" fontId="23" fillId="0" borderId="0" xfId="4" applyBorder="1"/>
    <xf numFmtId="0" fontId="26" fillId="0" borderId="0" xfId="3" applyFont="1" applyFill="1" applyBorder="1" applyAlignment="1">
      <alignment horizontal="center" vertical="center" wrapText="1"/>
    </xf>
    <xf numFmtId="0" fontId="23" fillId="0" borderId="0" xfId="3" applyFont="1" applyFill="1" applyBorder="1"/>
    <xf numFmtId="0" fontId="24" fillId="0" borderId="0" xfId="3" applyFont="1" applyFill="1" applyBorder="1" applyAlignment="1">
      <alignment horizontal="center"/>
    </xf>
    <xf numFmtId="0" fontId="23" fillId="0" borderId="0" xfId="4" applyAlignment="1">
      <alignment vertical="center"/>
    </xf>
    <xf numFmtId="9" fontId="22" fillId="0" borderId="0" xfId="2" applyNumberFormat="1" applyFill="1" applyBorder="1" applyAlignment="1">
      <alignment vertical="center"/>
    </xf>
    <xf numFmtId="0" fontId="23" fillId="0" borderId="0" xfId="4" applyFont="1"/>
    <xf numFmtId="0" fontId="6" fillId="0" borderId="0" xfId="4" applyFont="1" applyFill="1" applyAlignment="1" applyProtection="1">
      <alignment vertical="center"/>
    </xf>
    <xf numFmtId="0" fontId="6" fillId="0" borderId="0" xfId="4" applyFont="1" applyFill="1" applyAlignment="1" applyProtection="1">
      <alignment horizontal="right" vertical="center"/>
    </xf>
    <xf numFmtId="0" fontId="2" fillId="2" borderId="0" xfId="5" applyFont="1" applyFill="1" applyProtection="1"/>
    <xf numFmtId="0" fontId="2" fillId="2" borderId="0" xfId="5" applyFont="1" applyFill="1" applyAlignment="1" applyProtection="1">
      <alignment horizontal="center"/>
    </xf>
    <xf numFmtId="0" fontId="5" fillId="2" borderId="0" xfId="5" applyFont="1" applyFill="1" applyProtection="1"/>
    <xf numFmtId="0" fontId="4" fillId="2" borderId="0" xfId="5" applyFont="1" applyFill="1" applyProtection="1"/>
    <xf numFmtId="0" fontId="2" fillId="0" borderId="3" xfId="6" applyFont="1" applyBorder="1" applyAlignment="1" applyProtection="1">
      <alignment horizontal="center"/>
      <protection locked="0"/>
    </xf>
    <xf numFmtId="0" fontId="2" fillId="0" borderId="4" xfId="8" applyFont="1" applyBorder="1" applyAlignment="1" applyProtection="1">
      <alignment horizontal="center"/>
      <protection locked="0"/>
    </xf>
    <xf numFmtId="1" fontId="2" fillId="0" borderId="4" xfId="8" applyNumberFormat="1" applyFont="1" applyBorder="1" applyAlignment="1" applyProtection="1">
      <alignment horizontal="center"/>
      <protection locked="0"/>
    </xf>
    <xf numFmtId="0" fontId="2" fillId="0" borderId="4" xfId="5" applyFont="1" applyBorder="1" applyAlignment="1" applyProtection="1">
      <alignment horizontal="center"/>
      <protection locked="0"/>
    </xf>
    <xf numFmtId="0" fontId="2" fillId="0" borderId="4" xfId="5" quotePrefix="1" applyFont="1" applyBorder="1" applyAlignment="1" applyProtection="1">
      <alignment horizontal="center"/>
      <protection locked="0"/>
    </xf>
    <xf numFmtId="0" fontId="2" fillId="0" borderId="4" xfId="5" applyFont="1" applyFill="1" applyBorder="1" applyAlignment="1" applyProtection="1">
      <alignment horizontal="center"/>
      <protection locked="0"/>
    </xf>
    <xf numFmtId="0" fontId="2" fillId="0" borderId="4" xfId="5" quotePrefix="1" applyFont="1" applyFill="1" applyBorder="1" applyAlignment="1" applyProtection="1">
      <alignment horizontal="center"/>
      <protection locked="0"/>
    </xf>
    <xf numFmtId="1" fontId="2" fillId="0" borderId="4" xfId="8" applyNumberFormat="1" applyFont="1" applyFill="1" applyBorder="1" applyAlignment="1" applyProtection="1">
      <alignment horizontal="center"/>
      <protection locked="0"/>
    </xf>
    <xf numFmtId="1" fontId="2" fillId="0" borderId="4" xfId="6" applyNumberFormat="1" applyFont="1" applyBorder="1" applyAlignment="1" applyProtection="1">
      <alignment horizontal="center"/>
      <protection locked="0"/>
    </xf>
    <xf numFmtId="0" fontId="2" fillId="0" borderId="4" xfId="6" applyFont="1" applyBorder="1" applyAlignment="1" applyProtection="1">
      <alignment horizontal="center"/>
      <protection locked="0"/>
    </xf>
    <xf numFmtId="0" fontId="2" fillId="0" borderId="4" xfId="8" applyFont="1" applyFill="1" applyBorder="1" applyAlignment="1" applyProtection="1">
      <alignment horizontal="center"/>
      <protection locked="0"/>
    </xf>
    <xf numFmtId="1" fontId="2" fillId="0" borderId="4" xfId="6" applyNumberFormat="1" applyFont="1" applyFill="1" applyBorder="1" applyAlignment="1" applyProtection="1">
      <alignment horizontal="center"/>
      <protection locked="0"/>
    </xf>
    <xf numFmtId="0" fontId="2" fillId="0" borderId="4" xfId="6" applyFont="1" applyFill="1" applyBorder="1" applyAlignment="1" applyProtection="1">
      <alignment horizontal="center"/>
      <protection locked="0"/>
    </xf>
    <xf numFmtId="0" fontId="2" fillId="0" borderId="0" xfId="5" applyFont="1" applyProtection="1">
      <protection locked="0"/>
    </xf>
    <xf numFmtId="0" fontId="2" fillId="0" borderId="0" xfId="5" applyFont="1" applyAlignment="1" applyProtection="1">
      <alignment horizontal="right"/>
      <protection locked="0"/>
    </xf>
    <xf numFmtId="44" fontId="2" fillId="9" borderId="0" xfId="5" applyNumberFormat="1" applyFont="1" applyFill="1" applyBorder="1" applyAlignment="1">
      <alignment horizontal="right"/>
    </xf>
    <xf numFmtId="0" fontId="3" fillId="2" borderId="0" xfId="4" applyFont="1" applyFill="1" applyProtection="1"/>
    <xf numFmtId="0" fontId="2" fillId="6" borderId="0" xfId="4" applyFont="1" applyFill="1" applyProtection="1"/>
    <xf numFmtId="0" fontId="4" fillId="6" borderId="0" xfId="4" applyFont="1" applyFill="1" applyProtection="1"/>
    <xf numFmtId="1" fontId="2" fillId="0" borderId="4" xfId="6" quotePrefix="1" applyNumberFormat="1" applyFont="1" applyBorder="1" applyAlignment="1" applyProtection="1">
      <alignment horizontal="center"/>
      <protection locked="0"/>
    </xf>
    <xf numFmtId="49" fontId="2" fillId="0" borderId="4" xfId="5" quotePrefix="1" applyNumberFormat="1" applyFont="1" applyBorder="1" applyAlignment="1" applyProtection="1">
      <alignment horizontal="center"/>
      <protection locked="0"/>
    </xf>
    <xf numFmtId="0" fontId="2" fillId="0" borderId="4" xfId="6" quotePrefix="1" applyFont="1" applyBorder="1" applyAlignment="1" applyProtection="1">
      <alignment horizontal="center"/>
      <protection locked="0"/>
    </xf>
    <xf numFmtId="1" fontId="2" fillId="0" borderId="4" xfId="8" quotePrefix="1" applyNumberFormat="1" applyFont="1" applyBorder="1" applyAlignment="1" applyProtection="1">
      <alignment horizontal="center"/>
      <protection locked="0"/>
    </xf>
    <xf numFmtId="1" fontId="2" fillId="0" borderId="4" xfId="6" quotePrefix="1" applyNumberFormat="1" applyFont="1" applyFill="1" applyBorder="1" applyAlignment="1" applyProtection="1">
      <alignment horizontal="center"/>
      <protection locked="0"/>
    </xf>
    <xf numFmtId="0" fontId="2" fillId="0" borderId="4" xfId="8" quotePrefix="1" applyFont="1" applyBorder="1" applyAlignment="1" applyProtection="1">
      <alignment horizontal="center"/>
      <protection locked="0"/>
    </xf>
    <xf numFmtId="0" fontId="2" fillId="0" borderId="0" xfId="5" applyFont="1" applyFill="1" applyProtection="1">
      <protection locked="0"/>
    </xf>
    <xf numFmtId="0" fontId="0" fillId="0" borderId="0" xfId="0" applyAlignment="1">
      <alignment horizontal="center"/>
    </xf>
    <xf numFmtId="0" fontId="23" fillId="0" borderId="0" xfId="4" applyAlignment="1">
      <alignment horizontal="center"/>
    </xf>
    <xf numFmtId="0" fontId="23" fillId="0" borderId="0" xfId="3" applyFont="1" applyAlignment="1">
      <alignment horizontal="center" vertical="center"/>
    </xf>
    <xf numFmtId="0" fontId="23" fillId="0" borderId="0" xfId="4" applyFill="1" applyAlignment="1">
      <alignment horizontal="center"/>
    </xf>
    <xf numFmtId="4" fontId="2" fillId="0" borderId="4" xfId="8" applyNumberFormat="1" applyFont="1" applyBorder="1" applyProtection="1">
      <protection locked="0"/>
    </xf>
    <xf numFmtId="4" fontId="2" fillId="0" borderId="4" xfId="8" applyNumberFormat="1" applyFont="1" applyFill="1" applyBorder="1" applyProtection="1">
      <protection locked="0"/>
    </xf>
    <xf numFmtId="170" fontId="2" fillId="0" borderId="4" xfId="8" applyNumberFormat="1" applyFont="1" applyBorder="1" applyProtection="1">
      <protection locked="0"/>
    </xf>
    <xf numFmtId="170" fontId="2" fillId="0" borderId="4" xfId="8" applyNumberFormat="1" applyFont="1" applyFill="1" applyBorder="1" applyProtection="1">
      <protection locked="0"/>
    </xf>
    <xf numFmtId="0" fontId="2" fillId="11" borderId="4" xfId="8" applyFont="1" applyFill="1" applyBorder="1" applyAlignment="1" applyProtection="1">
      <alignment horizontal="center"/>
      <protection locked="0"/>
    </xf>
    <xf numFmtId="1" fontId="2" fillId="0" borderId="4" xfId="8" quotePrefix="1" applyNumberFormat="1" applyFont="1" applyFill="1" applyBorder="1" applyAlignment="1" applyProtection="1">
      <alignment horizontal="center"/>
      <protection locked="0"/>
    </xf>
    <xf numFmtId="174" fontId="2" fillId="0" borderId="4" xfId="8" applyNumberFormat="1" applyFont="1" applyBorder="1" applyProtection="1">
      <protection locked="0"/>
    </xf>
    <xf numFmtId="174" fontId="2" fillId="0" borderId="4" xfId="8" applyNumberFormat="1" applyFont="1" applyFill="1" applyBorder="1" applyProtection="1">
      <protection locked="0"/>
    </xf>
    <xf numFmtId="0" fontId="23" fillId="0" borderId="1" xfId="3" applyFont="1" applyBorder="1" applyAlignment="1">
      <alignment horizontal="center"/>
    </xf>
    <xf numFmtId="0" fontId="28" fillId="0" borderId="1" xfId="3" applyFont="1" applyBorder="1"/>
    <xf numFmtId="0" fontId="28" fillId="0" borderId="1" xfId="3" applyFont="1" applyBorder="1" applyAlignment="1">
      <alignment horizontal="center"/>
    </xf>
    <xf numFmtId="8" fontId="28" fillId="0" borderId="1" xfId="3" applyNumberFormat="1" applyFont="1" applyFill="1" applyBorder="1"/>
    <xf numFmtId="0" fontId="23" fillId="0" borderId="1" xfId="3" applyFont="1" applyFill="1" applyBorder="1" applyAlignment="1">
      <alignment horizontal="center"/>
    </xf>
    <xf numFmtId="0" fontId="28" fillId="0" borderId="1" xfId="3" applyFont="1" applyFill="1" applyBorder="1" applyAlignment="1">
      <alignment horizontal="left"/>
    </xf>
    <xf numFmtId="165" fontId="28" fillId="0" borderId="1" xfId="3" applyNumberFormat="1" applyFont="1" applyFill="1" applyBorder="1"/>
    <xf numFmtId="170" fontId="28" fillId="0" borderId="1" xfId="3" applyNumberFormat="1" applyFont="1" applyFill="1" applyBorder="1" applyAlignment="1">
      <alignment horizontal="center"/>
    </xf>
    <xf numFmtId="0" fontId="28" fillId="0" borderId="1" xfId="3" quotePrefix="1" applyFont="1" applyFill="1" applyBorder="1" applyAlignment="1">
      <alignment horizontal="left"/>
    </xf>
    <xf numFmtId="0" fontId="28" fillId="0" borderId="1" xfId="3" applyFont="1" applyFill="1" applyBorder="1"/>
    <xf numFmtId="0" fontId="7" fillId="0" borderId="1" xfId="3" applyFont="1" applyBorder="1" applyAlignment="1">
      <alignment horizontal="center" wrapText="1"/>
    </xf>
    <xf numFmtId="0" fontId="7" fillId="0" borderId="1" xfId="3" applyFont="1" applyBorder="1" applyAlignment="1">
      <alignment horizontal="center"/>
    </xf>
    <xf numFmtId="0" fontId="27" fillId="0" borderId="1" xfId="3" applyFont="1" applyFill="1" applyBorder="1" applyAlignment="1">
      <alignment horizontal="left" wrapText="1"/>
    </xf>
    <xf numFmtId="165" fontId="28" fillId="0" borderId="1" xfId="3" applyNumberFormat="1" applyFont="1" applyBorder="1"/>
    <xf numFmtId="0" fontId="28" fillId="0" borderId="1" xfId="3" quotePrefix="1" applyFont="1" applyFill="1" applyBorder="1" applyAlignment="1">
      <alignment horizontal="left" wrapText="1"/>
    </xf>
    <xf numFmtId="0" fontId="28" fillId="0" borderId="1" xfId="3" quotePrefix="1" applyFont="1" applyBorder="1" applyAlignment="1">
      <alignment horizontal="center"/>
    </xf>
    <xf numFmtId="0" fontId="28" fillId="0" borderId="1" xfId="3" applyFont="1" applyFill="1" applyBorder="1" applyAlignment="1">
      <alignment horizontal="left" wrapText="1"/>
    </xf>
    <xf numFmtId="165" fontId="28" fillId="11" borderId="1" xfId="3" applyNumberFormat="1" applyFont="1" applyFill="1" applyBorder="1"/>
    <xf numFmtId="8" fontId="28" fillId="11" borderId="1" xfId="3" applyNumberFormat="1" applyFont="1" applyFill="1" applyBorder="1"/>
    <xf numFmtId="0" fontId="27" fillId="0" borderId="1" xfId="3" quotePrefix="1" applyFont="1" applyFill="1" applyBorder="1" applyAlignment="1">
      <alignment horizontal="left" wrapText="1"/>
    </xf>
    <xf numFmtId="0" fontId="28" fillId="0" borderId="1" xfId="3" quotePrefix="1" applyFont="1" applyFill="1" applyBorder="1" applyAlignment="1">
      <alignment horizontal="center"/>
    </xf>
    <xf numFmtId="0" fontId="28" fillId="0" borderId="1" xfId="3" applyFont="1" applyFill="1" applyBorder="1" applyAlignment="1">
      <alignment horizontal="center"/>
    </xf>
    <xf numFmtId="0" fontId="13" fillId="0" borderId="1" xfId="3" applyFont="1" applyBorder="1" applyAlignment="1">
      <alignment wrapText="1"/>
    </xf>
    <xf numFmtId="0" fontId="13" fillId="0" borderId="1" xfId="3" applyFont="1" applyFill="1" applyBorder="1" applyAlignment="1">
      <alignment wrapText="1"/>
    </xf>
    <xf numFmtId="0" fontId="28" fillId="11" borderId="1" xfId="3" applyFont="1" applyFill="1" applyBorder="1" applyAlignment="1">
      <alignment horizontal="center"/>
    </xf>
    <xf numFmtId="43" fontId="28" fillId="11" borderId="1" xfId="1" applyNumberFormat="1" applyFont="1" applyFill="1" applyBorder="1"/>
    <xf numFmtId="0" fontId="27" fillId="0" borderId="1" xfId="3" applyFont="1" applyBorder="1" applyAlignment="1">
      <alignment wrapText="1"/>
    </xf>
    <xf numFmtId="43" fontId="28" fillId="0" borderId="1" xfId="1" applyNumberFormat="1" applyFont="1" applyFill="1" applyBorder="1"/>
    <xf numFmtId="170" fontId="28" fillId="0" borderId="1" xfId="9" applyNumberFormat="1" applyFont="1" applyFill="1" applyBorder="1" applyAlignment="1">
      <alignment horizontal="center"/>
    </xf>
    <xf numFmtId="0" fontId="27" fillId="0" borderId="1" xfId="3" applyFont="1" applyFill="1" applyBorder="1" applyAlignment="1">
      <alignment horizontal="center"/>
    </xf>
    <xf numFmtId="170" fontId="27" fillId="0" borderId="1" xfId="10" applyNumberFormat="1" applyFont="1" applyFill="1" applyBorder="1" applyAlignment="1">
      <alignment horizontal="center"/>
    </xf>
    <xf numFmtId="0" fontId="27" fillId="0" borderId="1" xfId="3" applyFont="1" applyBorder="1" applyAlignment="1">
      <alignment horizontal="center"/>
    </xf>
    <xf numFmtId="0" fontId="23" fillId="0" borderId="1" xfId="4" applyBorder="1" applyAlignment="1">
      <alignment horizontal="center"/>
    </xf>
    <xf numFmtId="170" fontId="31" fillId="0" borderId="1" xfId="10" applyNumberFormat="1" applyFont="1" applyFill="1" applyBorder="1" applyAlignment="1">
      <alignment horizontal="center"/>
    </xf>
    <xf numFmtId="0" fontId="7" fillId="0" borderId="1" xfId="3" applyFont="1" applyFill="1" applyBorder="1" applyAlignment="1">
      <alignment horizontal="center"/>
    </xf>
    <xf numFmtId="0" fontId="32" fillId="0" borderId="1" xfId="3" applyFont="1" applyFill="1" applyBorder="1" applyAlignment="1">
      <alignment horizontal="left" wrapText="1"/>
    </xf>
    <xf numFmtId="0" fontId="7" fillId="0" borderId="1" xfId="7" applyFont="1" applyFill="1" applyBorder="1" applyAlignment="1">
      <alignment horizontal="center"/>
    </xf>
    <xf numFmtId="169" fontId="27" fillId="0" borderId="1" xfId="10" applyNumberFormat="1" applyFont="1" applyFill="1" applyBorder="1" applyAlignment="1">
      <alignment horizontal="center"/>
    </xf>
    <xf numFmtId="0" fontId="23" fillId="0" borderId="1" xfId="3" applyFont="1" applyBorder="1" applyAlignment="1">
      <alignment horizontal="center" vertical="center"/>
    </xf>
    <xf numFmtId="0" fontId="27" fillId="0" borderId="1" xfId="4" applyFont="1" applyFill="1" applyBorder="1" applyAlignment="1">
      <alignment vertical="center"/>
    </xf>
    <xf numFmtId="0" fontId="27" fillId="0" borderId="1" xfId="3" applyFont="1" applyBorder="1" applyAlignment="1">
      <alignment horizontal="center" vertical="center"/>
    </xf>
    <xf numFmtId="0" fontId="7" fillId="0" borderId="1" xfId="4" applyFont="1" applyFill="1" applyBorder="1" applyAlignment="1">
      <alignment horizontal="center"/>
    </xf>
    <xf numFmtId="0" fontId="27" fillId="0" borderId="1" xfId="4" applyFont="1" applyFill="1" applyBorder="1" applyAlignment="1">
      <alignment vertical="top"/>
    </xf>
    <xf numFmtId="0" fontId="27" fillId="0" borderId="1" xfId="3" applyFont="1" applyBorder="1"/>
    <xf numFmtId="0" fontId="27" fillId="0" borderId="1" xfId="4" applyFont="1" applyFill="1" applyBorder="1" applyAlignment="1">
      <alignment horizontal="left" vertical="center"/>
    </xf>
    <xf numFmtId="171" fontId="27" fillId="0" borderId="1" xfId="10" applyNumberFormat="1" applyFont="1" applyFill="1" applyBorder="1" applyAlignment="1">
      <alignment horizontal="center"/>
    </xf>
    <xf numFmtId="0" fontId="7" fillId="0" borderId="1" xfId="3" applyFont="1" applyFill="1" applyBorder="1" applyAlignment="1">
      <alignment horizontal="center" vertical="center"/>
    </xf>
    <xf numFmtId="0" fontId="27" fillId="0" borderId="1" xfId="3" applyFont="1" applyFill="1" applyBorder="1" applyAlignment="1">
      <alignment horizontal="left" vertical="center"/>
    </xf>
    <xf numFmtId="0" fontId="7" fillId="0" borderId="1" xfId="7" applyFont="1" applyBorder="1" applyAlignment="1">
      <alignment horizontal="center"/>
    </xf>
    <xf numFmtId="0" fontId="32" fillId="0" borderId="1" xfId="3" applyFont="1" applyBorder="1" applyAlignment="1">
      <alignment wrapText="1"/>
    </xf>
    <xf numFmtId="0" fontId="28" fillId="0" borderId="1" xfId="3" applyFont="1" applyBorder="1" applyAlignment="1">
      <alignment horizontal="center" wrapText="1"/>
    </xf>
    <xf numFmtId="0" fontId="27" fillId="0" borderId="1" xfId="7" applyFont="1" applyBorder="1" applyAlignment="1">
      <alignment wrapText="1"/>
    </xf>
    <xf numFmtId="0" fontId="33" fillId="0" borderId="1" xfId="3" applyFont="1" applyBorder="1" applyAlignment="1">
      <alignment horizontal="center"/>
    </xf>
    <xf numFmtId="171" fontId="28" fillId="0" borderId="1" xfId="4" applyNumberFormat="1" applyFont="1" applyBorder="1" applyAlignment="1">
      <alignment horizontal="center"/>
    </xf>
    <xf numFmtId="0" fontId="27" fillId="11" borderId="1" xfId="2" applyFont="1" applyFill="1" applyBorder="1" applyAlignment="1">
      <alignment horizontal="center"/>
    </xf>
    <xf numFmtId="0" fontId="27" fillId="0" borderId="1" xfId="7" applyFont="1" applyBorder="1" applyAlignment="1">
      <alignment horizontal="left" wrapText="1"/>
    </xf>
    <xf numFmtId="0" fontId="27" fillId="0" borderId="1" xfId="3" applyFont="1" applyFill="1" applyBorder="1" applyAlignment="1">
      <alignment wrapText="1"/>
    </xf>
    <xf numFmtId="0" fontId="27" fillId="0" borderId="1" xfId="7" quotePrefix="1" applyFont="1" applyBorder="1" applyAlignment="1">
      <alignment horizontal="left" wrapText="1"/>
    </xf>
    <xf numFmtId="0" fontId="2" fillId="0" borderId="1" xfId="5" applyFont="1" applyFill="1" applyBorder="1" applyAlignment="1" applyProtection="1">
      <alignment horizontal="center"/>
      <protection locked="0"/>
    </xf>
    <xf numFmtId="0" fontId="24" fillId="0" borderId="5" xfId="4" applyFont="1" applyBorder="1" applyAlignment="1">
      <alignment horizontal="left"/>
    </xf>
    <xf numFmtId="165" fontId="22" fillId="0" borderId="11" xfId="2" applyNumberFormat="1" applyFont="1" applyFill="1" applyBorder="1" applyAlignment="1">
      <alignment horizontal="center"/>
    </xf>
    <xf numFmtId="167" fontId="23" fillId="0" borderId="11" xfId="3" applyNumberFormat="1" applyFont="1" applyFill="1" applyBorder="1" applyAlignment="1">
      <alignment horizontal="center"/>
    </xf>
    <xf numFmtId="168" fontId="34" fillId="0" borderId="11" xfId="3" applyNumberFormat="1" applyFont="1" applyFill="1" applyBorder="1" applyAlignment="1">
      <alignment horizontal="center"/>
    </xf>
    <xf numFmtId="168" fontId="34" fillId="0" borderId="13" xfId="3" applyNumberFormat="1" applyFont="1" applyFill="1" applyBorder="1" applyAlignment="1">
      <alignment horizontal="center"/>
    </xf>
    <xf numFmtId="171" fontId="23" fillId="0" borderId="1" xfId="3" applyNumberFormat="1" applyFont="1" applyFill="1" applyBorder="1" applyAlignment="1">
      <alignment horizontal="center" vertical="center"/>
    </xf>
    <xf numFmtId="168" fontId="34" fillId="0" borderId="1" xfId="3" applyNumberFormat="1" applyFont="1" applyFill="1" applyBorder="1" applyAlignment="1">
      <alignment horizontal="center" vertical="center"/>
    </xf>
    <xf numFmtId="168" fontId="34" fillId="0" borderId="14" xfId="3" applyNumberFormat="1" applyFont="1" applyFill="1" applyBorder="1" applyAlignment="1">
      <alignment horizontal="center" vertical="center"/>
    </xf>
    <xf numFmtId="0" fontId="6" fillId="0" borderId="0" xfId="4" applyFont="1" applyFill="1" applyBorder="1" applyAlignment="1" applyProtection="1">
      <alignment vertical="center"/>
    </xf>
    <xf numFmtId="0" fontId="2" fillId="0" borderId="0" xfId="5" applyFont="1" applyFill="1" applyProtection="1"/>
    <xf numFmtId="0" fontId="5" fillId="0" borderId="0" xfId="5" applyFont="1" applyFill="1" applyProtection="1"/>
    <xf numFmtId="0" fontId="3" fillId="0" borderId="0" xfId="5" applyFont="1" applyFill="1" applyProtection="1"/>
    <xf numFmtId="0" fontId="4" fillId="0" borderId="0" xfId="5" applyFont="1" applyFill="1" applyProtection="1"/>
    <xf numFmtId="170" fontId="27" fillId="0" borderId="1" xfId="10" applyNumberFormat="1" applyFont="1" applyFill="1" applyBorder="1" applyAlignment="1">
      <alignment horizontal="center" vertical="center"/>
    </xf>
    <xf numFmtId="9" fontId="22" fillId="0" borderId="11" xfId="2" applyNumberFormat="1" applyFont="1" applyFill="1" applyBorder="1" applyAlignment="1">
      <alignment horizontal="center" vertical="center"/>
    </xf>
    <xf numFmtId="0" fontId="23" fillId="12" borderId="1" xfId="3" applyFont="1" applyFill="1" applyBorder="1" applyAlignment="1">
      <alignment horizontal="center"/>
    </xf>
    <xf numFmtId="0" fontId="32" fillId="0" borderId="20" xfId="3" applyFont="1" applyFill="1" applyBorder="1" applyAlignment="1">
      <alignment wrapText="1"/>
    </xf>
    <xf numFmtId="0" fontId="7" fillId="12" borderId="1" xfId="3" applyFont="1" applyFill="1" applyBorder="1" applyAlignment="1">
      <alignment horizontal="center"/>
    </xf>
    <xf numFmtId="0" fontId="23" fillId="0" borderId="8" xfId="4" applyFont="1" applyBorder="1"/>
    <xf numFmtId="0" fontId="23" fillId="0" borderId="8" xfId="4" applyFont="1" applyFill="1" applyBorder="1"/>
    <xf numFmtId="9" fontId="22" fillId="0" borderId="11" xfId="2" applyNumberFormat="1" applyFont="1" applyFill="1" applyBorder="1" applyAlignment="1">
      <alignment horizontal="center"/>
    </xf>
    <xf numFmtId="0" fontId="35" fillId="0" borderId="8" xfId="4" applyFont="1" applyFill="1" applyBorder="1"/>
    <xf numFmtId="0" fontId="35" fillId="12" borderId="8" xfId="4" applyFont="1" applyFill="1" applyBorder="1"/>
    <xf numFmtId="0" fontId="40" fillId="0" borderId="8" xfId="4" applyFont="1" applyFill="1" applyBorder="1"/>
    <xf numFmtId="0" fontId="40" fillId="12" borderId="8" xfId="4" applyFont="1" applyFill="1" applyBorder="1"/>
    <xf numFmtId="0" fontId="42" fillId="0" borderId="8" xfId="4" applyFont="1" applyFill="1" applyBorder="1"/>
    <xf numFmtId="14" fontId="22" fillId="0" borderId="11" xfId="2" applyNumberFormat="1" applyFont="1" applyFill="1" applyBorder="1" applyAlignment="1">
      <alignment horizontal="center"/>
    </xf>
    <xf numFmtId="0" fontId="42" fillId="12" borderId="8" xfId="4" applyFont="1" applyFill="1" applyBorder="1"/>
    <xf numFmtId="0" fontId="23" fillId="12" borderId="8" xfId="4" applyFont="1" applyFill="1" applyBorder="1"/>
    <xf numFmtId="166" fontId="22" fillId="0" borderId="11" xfId="2" applyNumberFormat="1" applyFont="1" applyFill="1" applyBorder="1" applyAlignment="1">
      <alignment horizontal="center"/>
    </xf>
    <xf numFmtId="0" fontId="23" fillId="0" borderId="8" xfId="4" applyFont="1" applyFill="1" applyBorder="1" applyAlignment="1">
      <alignment horizontal="left"/>
    </xf>
    <xf numFmtId="0" fontId="46" fillId="0" borderId="8" xfId="3" applyFont="1" applyBorder="1" applyAlignment="1">
      <alignment vertical="center" wrapText="1"/>
    </xf>
    <xf numFmtId="0" fontId="46" fillId="0" borderId="8" xfId="3" applyFont="1" applyBorder="1" applyAlignment="1">
      <alignment wrapText="1"/>
    </xf>
    <xf numFmtId="0" fontId="46" fillId="0" borderId="10" xfId="3" applyFont="1" applyBorder="1" applyAlignment="1">
      <alignment vertical="center" wrapText="1"/>
    </xf>
    <xf numFmtId="0" fontId="6" fillId="0" borderId="0" xfId="4" applyFont="1" applyFill="1" applyAlignment="1" applyProtection="1">
      <alignment horizontal="left" vertical="center"/>
    </xf>
    <xf numFmtId="0" fontId="27" fillId="0" borderId="1" xfId="4" applyFont="1" applyFill="1" applyBorder="1" applyAlignment="1">
      <alignment horizontal="left"/>
    </xf>
    <xf numFmtId="1" fontId="2" fillId="11" borderId="3" xfId="8" applyNumberFormat="1" applyFont="1" applyFill="1" applyBorder="1" applyAlignment="1" applyProtection="1">
      <alignment horizontal="center"/>
      <protection locked="0"/>
    </xf>
    <xf numFmtId="0" fontId="24" fillId="8" borderId="2" xfId="3" applyFont="1" applyFill="1" applyBorder="1" applyAlignment="1">
      <alignment horizontal="center" vertical="center"/>
    </xf>
    <xf numFmtId="0" fontId="13" fillId="0" borderId="17" xfId="3" applyFont="1" applyBorder="1" applyAlignment="1">
      <alignment horizontal="left"/>
    </xf>
    <xf numFmtId="0" fontId="23" fillId="12" borderId="8" xfId="4" applyFont="1" applyFill="1" applyBorder="1" applyAlignment="1">
      <alignment wrapText="1"/>
    </xf>
    <xf numFmtId="0" fontId="5" fillId="0" borderId="4" xfId="5" quotePrefix="1" applyFont="1" applyFill="1" applyBorder="1" applyAlignment="1">
      <alignment horizontal="center"/>
    </xf>
    <xf numFmtId="0" fontId="2" fillId="0" borderId="4" xfId="5" quotePrefix="1" applyFont="1" applyFill="1" applyBorder="1" applyAlignment="1">
      <alignment horizontal="center"/>
    </xf>
    <xf numFmtId="0" fontId="9" fillId="0" borderId="24" xfId="5" applyFont="1" applyBorder="1" applyProtection="1">
      <protection locked="0"/>
    </xf>
    <xf numFmtId="0" fontId="2" fillId="0" borderId="25" xfId="5" applyFont="1" applyBorder="1" applyProtection="1">
      <protection locked="0"/>
    </xf>
    <xf numFmtId="2" fontId="2" fillId="0" borderId="26" xfId="5" applyNumberFormat="1" applyFont="1" applyBorder="1" applyAlignment="1" applyProtection="1">
      <alignment horizontal="right"/>
      <protection locked="0"/>
    </xf>
    <xf numFmtId="0" fontId="30" fillId="12" borderId="28" xfId="3" applyFont="1" applyFill="1" applyBorder="1" applyAlignment="1">
      <alignment horizontal="left"/>
    </xf>
    <xf numFmtId="0" fontId="30" fillId="12" borderId="29" xfId="3" applyFont="1" applyFill="1" applyBorder="1" applyAlignment="1">
      <alignment horizontal="left"/>
    </xf>
    <xf numFmtId="0" fontId="30" fillId="12" borderId="30" xfId="3" applyFont="1" applyFill="1" applyBorder="1" applyAlignment="1">
      <alignment horizontal="left"/>
    </xf>
    <xf numFmtId="0" fontId="5" fillId="0" borderId="1" xfId="5" quotePrefix="1" applyFont="1" applyFill="1" applyBorder="1" applyAlignment="1">
      <alignment horizontal="center"/>
    </xf>
    <xf numFmtId="0" fontId="2" fillId="0" borderId="1" xfId="5" quotePrefix="1" applyFont="1" applyFill="1" applyBorder="1" applyAlignment="1">
      <alignment horizontal="center"/>
    </xf>
    <xf numFmtId="0" fontId="2" fillId="6" borderId="0" xfId="8" applyNumberFormat="1" applyFont="1" applyFill="1" applyBorder="1" applyAlignment="1" applyProtection="1">
      <alignment horizontal="center"/>
      <protection locked="0"/>
    </xf>
    <xf numFmtId="164" fontId="2" fillId="6" borderId="0" xfId="8" applyNumberFormat="1" applyFont="1" applyFill="1" applyBorder="1" applyAlignment="1" applyProtection="1">
      <alignment horizontal="center"/>
      <protection locked="0"/>
    </xf>
    <xf numFmtId="0" fontId="2" fillId="6" borderId="0" xfId="4" applyFont="1" applyFill="1" applyAlignment="1" applyProtection="1">
      <alignment horizontal="center"/>
    </xf>
    <xf numFmtId="0" fontId="2" fillId="6" borderId="0" xfId="4" applyFont="1" applyFill="1" applyAlignment="1" applyProtection="1">
      <alignment horizontal="center"/>
      <protection locked="0"/>
    </xf>
    <xf numFmtId="0" fontId="2" fillId="6" borderId="0" xfId="4" quotePrefix="1" applyFont="1" applyFill="1" applyAlignment="1" applyProtection="1">
      <alignment horizontal="center"/>
      <protection locked="0"/>
    </xf>
    <xf numFmtId="164" fontId="2" fillId="6" borderId="0" xfId="4" applyNumberFormat="1" applyFont="1" applyFill="1" applyAlignment="1" applyProtection="1">
      <alignment horizontal="center"/>
      <protection locked="0"/>
    </xf>
    <xf numFmtId="14" fontId="2" fillId="6" borderId="0" xfId="4" applyNumberFormat="1" applyFont="1" applyFill="1" applyAlignment="1" applyProtection="1">
      <alignment horizontal="center"/>
      <protection locked="0"/>
    </xf>
    <xf numFmtId="0" fontId="2" fillId="0" borderId="4" xfId="6" quotePrefix="1" applyFont="1" applyFill="1" applyBorder="1" applyAlignment="1">
      <alignment horizontal="center"/>
    </xf>
    <xf numFmtId="0" fontId="2" fillId="0" borderId="4" xfId="6" applyFont="1" applyFill="1" applyBorder="1" applyAlignment="1">
      <alignment horizontal="center"/>
    </xf>
    <xf numFmtId="0" fontId="5" fillId="0" borderId="4" xfId="6" quotePrefix="1" applyFont="1" applyFill="1" applyBorder="1" applyAlignment="1">
      <alignment horizontal="center"/>
    </xf>
    <xf numFmtId="49" fontId="5" fillId="7" borderId="4" xfId="8" quotePrefix="1" applyNumberFormat="1" applyFont="1" applyFill="1" applyBorder="1" applyProtection="1">
      <protection locked="0"/>
    </xf>
    <xf numFmtId="4" fontId="5" fillId="0" borderId="4" xfId="8" applyNumberFormat="1" applyFont="1" applyFill="1" applyBorder="1" applyProtection="1">
      <protection locked="0"/>
    </xf>
    <xf numFmtId="49" fontId="5" fillId="0" borderId="4" xfId="8" applyNumberFormat="1" applyFont="1" applyFill="1" applyBorder="1" applyProtection="1">
      <protection locked="0"/>
    </xf>
    <xf numFmtId="49" fontId="5" fillId="9" borderId="4" xfId="5" quotePrefix="1" applyNumberFormat="1" applyFont="1" applyFill="1" applyBorder="1" applyAlignment="1"/>
    <xf numFmtId="49" fontId="5" fillId="10" borderId="4" xfId="8" quotePrefix="1" applyNumberFormat="1" applyFont="1" applyFill="1" applyBorder="1" applyProtection="1">
      <protection locked="0"/>
    </xf>
    <xf numFmtId="49" fontId="5" fillId="9" borderId="4" xfId="8" quotePrefix="1" applyNumberFormat="1" applyFont="1" applyFill="1" applyBorder="1" applyProtection="1">
      <protection locked="0"/>
    </xf>
    <xf numFmtId="0" fontId="13" fillId="0" borderId="1" xfId="3" applyFont="1" applyFill="1" applyBorder="1" applyAlignment="1">
      <alignment horizontal="left"/>
    </xf>
    <xf numFmtId="0" fontId="50" fillId="0" borderId="0" xfId="11" applyFont="1"/>
    <xf numFmtId="0" fontId="52" fillId="0" borderId="0" xfId="11" applyFont="1"/>
    <xf numFmtId="0" fontId="28" fillId="0" borderId="15" xfId="3" applyFont="1" applyBorder="1" applyAlignment="1">
      <alignment horizontal="center" vertical="center" wrapText="1"/>
    </xf>
    <xf numFmtId="0" fontId="24" fillId="8" borderId="16" xfId="3" applyFont="1" applyFill="1" applyBorder="1" applyAlignment="1">
      <alignment horizontal="center" vertical="center" wrapText="1"/>
    </xf>
    <xf numFmtId="173" fontId="2" fillId="0" borderId="4" xfId="8" applyNumberFormat="1" applyFont="1" applyFill="1" applyBorder="1" applyProtection="1">
      <protection locked="0"/>
    </xf>
    <xf numFmtId="173" fontId="2" fillId="0" borderId="4" xfId="8" applyNumberFormat="1" applyFont="1" applyBorder="1" applyProtection="1">
      <protection locked="0"/>
    </xf>
    <xf numFmtId="8" fontId="2" fillId="0" borderId="4" xfId="8" applyNumberFormat="1" applyFont="1" applyBorder="1" applyProtection="1">
      <protection locked="0"/>
    </xf>
    <xf numFmtId="8" fontId="2" fillId="0" borderId="4" xfId="8" applyNumberFormat="1" applyFont="1" applyFill="1" applyBorder="1" applyProtection="1">
      <protection locked="0"/>
    </xf>
    <xf numFmtId="8" fontId="2" fillId="7" borderId="4" xfId="8" applyNumberFormat="1" applyFont="1" applyFill="1" applyBorder="1" applyProtection="1">
      <protection locked="0"/>
    </xf>
    <xf numFmtId="8" fontId="2" fillId="9" borderId="4" xfId="5" applyNumberFormat="1" applyFont="1" applyFill="1" applyBorder="1" applyAlignment="1">
      <alignment horizontal="right"/>
    </xf>
    <xf numFmtId="8" fontId="2" fillId="10" borderId="4" xfId="8" applyNumberFormat="1" applyFont="1" applyFill="1" applyBorder="1" applyProtection="1">
      <protection locked="0"/>
    </xf>
    <xf numFmtId="8" fontId="5" fillId="7" borderId="4" xfId="8" applyNumberFormat="1" applyFont="1" applyFill="1" applyBorder="1" applyProtection="1">
      <protection locked="0"/>
    </xf>
    <xf numFmtId="8" fontId="5" fillId="10" borderId="4" xfId="8" applyNumberFormat="1" applyFont="1" applyFill="1" applyBorder="1" applyProtection="1">
      <protection locked="0"/>
    </xf>
    <xf numFmtId="8" fontId="2" fillId="9" borderId="4" xfId="8" applyNumberFormat="1" applyFont="1" applyFill="1" applyBorder="1" applyProtection="1">
      <protection locked="0"/>
    </xf>
    <xf numFmtId="172" fontId="28" fillId="13" borderId="1" xfId="3" applyNumberFormat="1" applyFont="1" applyFill="1" applyBorder="1" applyAlignment="1">
      <alignment horizontal="center"/>
    </xf>
    <xf numFmtId="165" fontId="28" fillId="13" borderId="1" xfId="3" applyNumberFormat="1" applyFont="1" applyFill="1" applyBorder="1" applyAlignment="1">
      <alignment vertical="center"/>
    </xf>
    <xf numFmtId="43" fontId="27" fillId="13" borderId="1" xfId="1" applyNumberFormat="1" applyFont="1" applyFill="1" applyBorder="1"/>
    <xf numFmtId="0" fontId="5" fillId="3" borderId="1" xfId="5" applyFont="1" applyFill="1" applyBorder="1" applyAlignment="1" applyProtection="1">
      <alignment horizontal="center" vertical="center" wrapText="1"/>
    </xf>
    <xf numFmtId="4" fontId="2" fillId="7" borderId="4" xfId="8" applyNumberFormat="1" applyFont="1" applyFill="1" applyBorder="1" applyProtection="1">
      <protection locked="0"/>
    </xf>
    <xf numFmtId="173" fontId="2" fillId="7" borderId="4" xfId="8" applyNumberFormat="1" applyFont="1" applyFill="1" applyBorder="1" applyProtection="1">
      <protection locked="0"/>
    </xf>
    <xf numFmtId="0" fontId="5" fillId="7" borderId="4" xfId="6" quotePrefix="1" applyFont="1" applyFill="1" applyBorder="1" applyAlignment="1">
      <alignment horizontal="center"/>
    </xf>
    <xf numFmtId="0" fontId="2" fillId="0" borderId="4" xfId="6" quotePrefix="1" applyFont="1" applyFill="1" applyBorder="1" applyAlignment="1">
      <alignment horizontal="center" wrapText="1"/>
    </xf>
    <xf numFmtId="0" fontId="2" fillId="12" borderId="4" xfId="6" quotePrefix="1" applyFont="1" applyFill="1" applyBorder="1" applyAlignment="1" applyProtection="1">
      <alignment horizontal="center"/>
      <protection locked="0"/>
    </xf>
    <xf numFmtId="0" fontId="2" fillId="12" borderId="4" xfId="6" applyFont="1" applyFill="1" applyBorder="1" applyAlignment="1" applyProtection="1">
      <alignment horizontal="center"/>
      <protection locked="0"/>
    </xf>
    <xf numFmtId="0" fontId="16" fillId="7" borderId="9" xfId="8" quotePrefix="1" applyNumberFormat="1" applyFont="1" applyFill="1" applyBorder="1" applyAlignment="1" applyProtection="1">
      <alignment horizontal="left"/>
      <protection locked="0"/>
    </xf>
    <xf numFmtId="0" fontId="2" fillId="7" borderId="12" xfId="8" applyNumberFormat="1" applyFont="1" applyFill="1" applyBorder="1" applyAlignment="1" applyProtection="1">
      <alignment horizontal="center"/>
      <protection locked="0"/>
    </xf>
    <xf numFmtId="0" fontId="2" fillId="12" borderId="27" xfId="5" applyFont="1" applyFill="1" applyBorder="1" applyAlignment="1" applyProtection="1">
      <alignment horizontal="right"/>
      <protection locked="0"/>
    </xf>
    <xf numFmtId="0" fontId="30" fillId="12" borderId="31" xfId="3" applyFont="1" applyFill="1" applyBorder="1" applyAlignment="1">
      <alignment horizontal="left"/>
    </xf>
    <xf numFmtId="0" fontId="16" fillId="9" borderId="9" xfId="5" quotePrefix="1" applyNumberFormat="1" applyFont="1" applyFill="1" applyBorder="1" applyAlignment="1">
      <alignment horizontal="left"/>
    </xf>
    <xf numFmtId="44" fontId="2" fillId="9" borderId="12" xfId="5" applyNumberFormat="1" applyFont="1" applyFill="1" applyBorder="1" applyAlignment="1">
      <alignment horizontal="right"/>
    </xf>
    <xf numFmtId="0" fontId="16" fillId="10" borderId="32" xfId="8" quotePrefix="1" applyNumberFormat="1" applyFont="1" applyFill="1" applyBorder="1" applyAlignment="1" applyProtection="1">
      <alignment horizontal="left"/>
      <protection locked="0"/>
    </xf>
    <xf numFmtId="0" fontId="2" fillId="10" borderId="31" xfId="8" applyNumberFormat="1" applyFont="1" applyFill="1" applyBorder="1" applyProtection="1">
      <protection locked="0"/>
    </xf>
    <xf numFmtId="0" fontId="2" fillId="10" borderId="27" xfId="8" applyNumberFormat="1" applyFont="1" applyFill="1" applyBorder="1" applyProtection="1">
      <protection locked="0"/>
    </xf>
    <xf numFmtId="0" fontId="2" fillId="0" borderId="4" xfId="6" applyFont="1" applyFill="1" applyBorder="1" applyAlignment="1">
      <alignment horizontal="center" wrapText="1"/>
    </xf>
    <xf numFmtId="0" fontId="2" fillId="0" borderId="0" xfId="5" quotePrefix="1" applyFont="1" applyFill="1" applyProtection="1"/>
    <xf numFmtId="49" fontId="5" fillId="10" borderId="4" xfId="8" quotePrefix="1" applyNumberFormat="1" applyFont="1" applyFill="1" applyBorder="1" applyAlignment="1" applyProtection="1">
      <alignment wrapText="1"/>
      <protection locked="0"/>
    </xf>
    <xf numFmtId="8" fontId="2" fillId="0" borderId="0" xfId="5" applyNumberFormat="1" applyFont="1" applyFill="1" applyProtection="1"/>
    <xf numFmtId="0" fontId="24" fillId="0" borderId="6" xfId="4" applyFont="1" applyBorder="1" applyAlignment="1">
      <alignment horizontal="center"/>
    </xf>
    <xf numFmtId="0" fontId="24" fillId="0" borderId="7" xfId="4" applyFont="1" applyFill="1" applyBorder="1" applyAlignment="1">
      <alignment horizontal="center"/>
    </xf>
    <xf numFmtId="175" fontId="2" fillId="11" borderId="3" xfId="8" applyNumberFormat="1" applyFont="1" applyFill="1" applyBorder="1" applyAlignment="1" applyProtection="1">
      <alignment horizontal="center"/>
      <protection locked="0"/>
    </xf>
    <xf numFmtId="1" fontId="2" fillId="14" borderId="4" xfId="8" applyNumberFormat="1" applyFont="1" applyFill="1" applyBorder="1" applyAlignment="1" applyProtection="1">
      <alignment horizontal="center" wrapText="1"/>
      <protection locked="0"/>
    </xf>
    <xf numFmtId="0" fontId="5" fillId="0" borderId="1" xfId="5" quotePrefix="1" applyFont="1" applyFill="1" applyBorder="1" applyAlignment="1"/>
    <xf numFmtId="0" fontId="24" fillId="8" borderId="16" xfId="3" applyFont="1" applyFill="1" applyBorder="1" applyAlignment="1">
      <alignment horizontal="center" vertical="center" wrapText="1"/>
    </xf>
    <xf numFmtId="0" fontId="5" fillId="0" borderId="4" xfId="6" quotePrefix="1" applyFont="1" applyFill="1" applyBorder="1" applyAlignment="1">
      <alignment horizontal="center" wrapText="1"/>
    </xf>
    <xf numFmtId="0" fontId="23" fillId="15" borderId="1" xfId="3" applyFont="1" applyFill="1" applyBorder="1" applyAlignment="1">
      <alignment horizontal="center"/>
    </xf>
    <xf numFmtId="0" fontId="7" fillId="15" borderId="1" xfId="4" applyFont="1" applyFill="1" applyBorder="1" applyAlignment="1">
      <alignment horizontal="center"/>
    </xf>
    <xf numFmtId="0" fontId="7" fillId="15" borderId="1" xfId="6" applyFont="1" applyFill="1" applyBorder="1" applyAlignment="1">
      <alignment horizontal="center"/>
    </xf>
    <xf numFmtId="0" fontId="5" fillId="0" borderId="1" xfId="5" quotePrefix="1" applyFont="1" applyFill="1" applyBorder="1" applyAlignment="1">
      <alignment wrapText="1"/>
    </xf>
    <xf numFmtId="8" fontId="28" fillId="9" borderId="1" xfId="3" applyNumberFormat="1" applyFont="1" applyFill="1" applyBorder="1"/>
    <xf numFmtId="0" fontId="23" fillId="7" borderId="1" xfId="3" applyFont="1" applyFill="1" applyBorder="1" applyAlignment="1">
      <alignment horizontal="center"/>
    </xf>
    <xf numFmtId="0" fontId="27" fillId="7" borderId="1" xfId="3" quotePrefix="1" applyFont="1" applyFill="1" applyBorder="1" applyAlignment="1">
      <alignment wrapText="1"/>
    </xf>
    <xf numFmtId="0" fontId="27" fillId="0" borderId="1" xfId="7" applyFont="1" applyFill="1" applyBorder="1" applyAlignment="1">
      <alignment horizontal="left" wrapText="1"/>
    </xf>
    <xf numFmtId="0" fontId="23" fillId="0" borderId="0" xfId="4" applyAlignment="1">
      <alignment horizontal="center" vertical="center"/>
    </xf>
    <xf numFmtId="0" fontId="23" fillId="0" borderId="1" xfId="4" applyBorder="1"/>
    <xf numFmtId="0" fontId="23" fillId="0" borderId="1" xfId="4" applyFill="1" applyBorder="1"/>
    <xf numFmtId="0" fontId="23" fillId="0" borderId="1" xfId="4" applyBorder="1" applyAlignment="1">
      <alignment vertical="center"/>
    </xf>
    <xf numFmtId="0" fontId="2" fillId="0" borderId="0" xfId="4" applyFont="1" applyFill="1" applyProtection="1"/>
    <xf numFmtId="172" fontId="28" fillId="0" borderId="1" xfId="3" applyNumberFormat="1" applyFont="1" applyFill="1" applyBorder="1" applyAlignment="1">
      <alignment horizontal="center"/>
    </xf>
    <xf numFmtId="0" fontId="24" fillId="8" borderId="2" xfId="3" applyFont="1" applyFill="1" applyBorder="1" applyAlignment="1">
      <alignment vertical="center"/>
    </xf>
    <xf numFmtId="0" fontId="24" fillId="8" borderId="2" xfId="3" applyFont="1" applyFill="1" applyBorder="1" applyAlignment="1">
      <alignment wrapText="1"/>
    </xf>
    <xf numFmtId="0" fontId="24" fillId="8" borderId="2" xfId="3" applyFont="1" applyFill="1" applyBorder="1" applyAlignment="1">
      <alignment horizontal="center" vertical="center" wrapText="1"/>
    </xf>
    <xf numFmtId="0" fontId="29" fillId="0" borderId="0" xfId="2" applyFont="1" applyFill="1" applyBorder="1" applyAlignment="1">
      <alignment horizontal="center"/>
    </xf>
    <xf numFmtId="0" fontId="28" fillId="0" borderId="17" xfId="3" applyFont="1" applyBorder="1" applyAlignment="1">
      <alignment wrapText="1"/>
    </xf>
    <xf numFmtId="0" fontId="23" fillId="0" borderId="1" xfId="4" applyFill="1" applyBorder="1" applyAlignment="1">
      <alignment horizontal="center"/>
    </xf>
    <xf numFmtId="0" fontId="23" fillId="0" borderId="1" xfId="4" applyBorder="1" applyAlignment="1">
      <alignment horizontal="center" vertical="center"/>
    </xf>
    <xf numFmtId="2" fontId="2" fillId="0" borderId="0" xfId="5" applyNumberFormat="1" applyFont="1" applyBorder="1" applyAlignment="1" applyProtection="1">
      <alignment horizontal="center"/>
      <protection locked="0"/>
    </xf>
    <xf numFmtId="0" fontId="30" fillId="0" borderId="0" xfId="3" applyFont="1" applyFill="1" applyBorder="1" applyAlignment="1">
      <alignment horizontal="center"/>
    </xf>
    <xf numFmtId="0" fontId="0" fillId="0" borderId="0" xfId="0" applyAlignment="1"/>
    <xf numFmtId="0" fontId="23" fillId="0" borderId="0" xfId="4" applyAlignment="1"/>
    <xf numFmtId="173" fontId="28" fillId="11" borderId="1" xfId="3" applyNumberFormat="1" applyFont="1" applyFill="1" applyBorder="1" applyAlignment="1">
      <alignment horizontal="center"/>
    </xf>
    <xf numFmtId="43" fontId="28" fillId="0" borderId="1" xfId="1" applyNumberFormat="1" applyFont="1" applyFill="1" applyBorder="1" applyAlignment="1">
      <alignment horizontal="center"/>
    </xf>
    <xf numFmtId="0" fontId="28" fillId="0" borderId="15" xfId="3" applyFont="1" applyFill="1" applyBorder="1" applyAlignment="1">
      <alignment vertical="center"/>
    </xf>
    <xf numFmtId="173" fontId="28" fillId="0" borderId="1" xfId="4" applyNumberFormat="1" applyFont="1" applyBorder="1" applyAlignment="1">
      <alignment horizontal="center"/>
    </xf>
    <xf numFmtId="0" fontId="51" fillId="0" borderId="0" xfId="12" applyFont="1" applyAlignment="1">
      <alignment horizontal="center" vertical="center"/>
    </xf>
    <xf numFmtId="0" fontId="1" fillId="0" borderId="0" xfId="12"/>
    <xf numFmtId="0" fontId="1" fillId="0" borderId="0" xfId="12" quotePrefix="1" applyFont="1" applyAlignment="1">
      <alignment horizontal="left" vertical="center" wrapText="1"/>
    </xf>
    <xf numFmtId="0" fontId="1" fillId="0" borderId="0" xfId="12" applyFont="1"/>
    <xf numFmtId="0" fontId="16" fillId="0" borderId="0" xfId="12" applyFont="1"/>
    <xf numFmtId="0" fontId="28" fillId="0" borderId="1" xfId="3" applyFont="1" applyBorder="1" applyAlignment="1">
      <alignment vertical="center"/>
    </xf>
    <xf numFmtId="164" fontId="27" fillId="7" borderId="0" xfId="1" applyNumberFormat="1" applyFont="1" applyFill="1" applyBorder="1" applyAlignment="1">
      <alignment horizontal="center" vertical="center"/>
    </xf>
    <xf numFmtId="171" fontId="27" fillId="7" borderId="1" xfId="10" applyNumberFormat="1" applyFont="1" applyFill="1" applyBorder="1" applyAlignment="1">
      <alignment horizontal="center"/>
    </xf>
    <xf numFmtId="170" fontId="27" fillId="0" borderId="15" xfId="7" applyNumberFormat="1" applyFont="1" applyFill="1" applyBorder="1" applyAlignment="1">
      <alignment horizontal="center"/>
    </xf>
    <xf numFmtId="170" fontId="27" fillId="0" borderId="15" xfId="7" applyNumberFormat="1" applyFont="1" applyBorder="1" applyAlignment="1">
      <alignment horizontal="center"/>
    </xf>
    <xf numFmtId="0" fontId="27" fillId="0" borderId="15" xfId="3" applyFont="1" applyFill="1" applyBorder="1" applyAlignment="1">
      <alignment horizontal="center"/>
    </xf>
    <xf numFmtId="0" fontId="27" fillId="7" borderId="0" xfId="7" applyFont="1" applyFill="1" applyBorder="1" applyAlignment="1"/>
    <xf numFmtId="7" fontId="28" fillId="9" borderId="1" xfId="3" applyNumberFormat="1" applyFont="1" applyFill="1" applyBorder="1"/>
    <xf numFmtId="0" fontId="23" fillId="10" borderId="1" xfId="3" applyFont="1" applyFill="1" applyBorder="1" applyAlignment="1">
      <alignment horizontal="center"/>
    </xf>
    <xf numFmtId="0" fontId="42" fillId="10" borderId="8" xfId="4" applyFont="1" applyFill="1" applyBorder="1"/>
    <xf numFmtId="10" fontId="27" fillId="10" borderId="1" xfId="3" applyNumberFormat="1" applyFont="1" applyFill="1" applyBorder="1"/>
    <xf numFmtId="0" fontId="27" fillId="10" borderId="1" xfId="3" quotePrefix="1" applyFont="1" applyFill="1" applyBorder="1" applyAlignment="1">
      <alignment horizontal="left" wrapText="1"/>
    </xf>
    <xf numFmtId="8" fontId="23" fillId="0" borderId="1" xfId="4" applyNumberFormat="1" applyBorder="1"/>
    <xf numFmtId="0" fontId="27" fillId="9" borderId="1" xfId="3" applyFont="1" applyFill="1" applyBorder="1" applyAlignment="1">
      <alignment wrapText="1"/>
    </xf>
    <xf numFmtId="170" fontId="22" fillId="0" borderId="1" xfId="2" applyNumberFormat="1" applyFont="1" applyFill="1" applyBorder="1" applyAlignment="1">
      <alignment horizontal="center"/>
    </xf>
    <xf numFmtId="173" fontId="22" fillId="0" borderId="1" xfId="2" applyNumberFormat="1" applyFont="1" applyFill="1" applyBorder="1" applyAlignment="1">
      <alignment horizontal="center"/>
    </xf>
    <xf numFmtId="170" fontId="55" fillId="0" borderId="1" xfId="2" applyNumberFormat="1" applyFont="1" applyFill="1" applyBorder="1" applyAlignment="1">
      <alignment horizontal="center"/>
    </xf>
    <xf numFmtId="170" fontId="55" fillId="12" borderId="1" xfId="2" applyNumberFormat="1" applyFont="1" applyFill="1" applyBorder="1" applyAlignment="1">
      <alignment horizontal="center"/>
    </xf>
    <xf numFmtId="170" fontId="22" fillId="12" borderId="1" xfId="2" applyNumberFormat="1" applyFont="1" applyFill="1" applyBorder="1" applyAlignment="1">
      <alignment horizontal="center"/>
    </xf>
    <xf numFmtId="164" fontId="22" fillId="0" borderId="1" xfId="2" applyNumberFormat="1" applyFont="1" applyFill="1" applyBorder="1" applyAlignment="1">
      <alignment horizontal="center"/>
    </xf>
    <xf numFmtId="164" fontId="22" fillId="12" borderId="1" xfId="2" applyNumberFormat="1" applyFont="1" applyFill="1" applyBorder="1" applyAlignment="1">
      <alignment horizontal="center"/>
    </xf>
    <xf numFmtId="164" fontId="22" fillId="10" borderId="1" xfId="2" applyNumberFormat="1" applyFont="1" applyFill="1" applyBorder="1" applyAlignment="1">
      <alignment horizontal="center"/>
    </xf>
    <xf numFmtId="169" fontId="22" fillId="0" borderId="1" xfId="2" applyNumberFormat="1" applyFont="1" applyFill="1" applyBorder="1" applyAlignment="1">
      <alignment horizontal="center"/>
    </xf>
    <xf numFmtId="173" fontId="22" fillId="12" borderId="1" xfId="2" applyNumberFormat="1" applyFont="1" applyFill="1" applyBorder="1" applyAlignment="1">
      <alignment horizontal="center"/>
    </xf>
    <xf numFmtId="0" fontId="27" fillId="9" borderId="1" xfId="7" applyFont="1" applyFill="1" applyBorder="1" applyAlignment="1">
      <alignment horizontal="left" wrapText="1"/>
    </xf>
    <xf numFmtId="0" fontId="32" fillId="0" borderId="1" xfId="3" applyFont="1" applyFill="1" applyBorder="1" applyAlignment="1">
      <alignment wrapText="1"/>
    </xf>
    <xf numFmtId="0" fontId="27" fillId="10" borderId="1" xfId="3" applyFont="1" applyFill="1" applyBorder="1" applyAlignment="1">
      <alignment wrapText="1"/>
    </xf>
    <xf numFmtId="14" fontId="22" fillId="10" borderId="11" xfId="2" applyNumberFormat="1" applyFont="1" applyFill="1" applyBorder="1" applyAlignment="1">
      <alignment horizontal="center"/>
    </xf>
    <xf numFmtId="0" fontId="23" fillId="16" borderId="1" xfId="3" applyFont="1" applyFill="1" applyBorder="1" applyAlignment="1">
      <alignment horizontal="center"/>
    </xf>
    <xf numFmtId="8" fontId="28" fillId="16" borderId="1" xfId="3" quotePrefix="1" applyNumberFormat="1" applyFont="1" applyFill="1" applyBorder="1"/>
    <xf numFmtId="0" fontId="13" fillId="16" borderId="1" xfId="3" applyFont="1" applyFill="1" applyBorder="1" applyAlignment="1">
      <alignment wrapText="1"/>
    </xf>
    <xf numFmtId="0" fontId="7" fillId="16" borderId="1" xfId="3" applyFont="1" applyFill="1" applyBorder="1" applyAlignment="1">
      <alignment horizontal="center"/>
    </xf>
    <xf numFmtId="0" fontId="27" fillId="16" borderId="1" xfId="7" applyFont="1" applyFill="1" applyBorder="1" applyAlignment="1">
      <alignment horizontal="left" wrapText="1"/>
    </xf>
    <xf numFmtId="0" fontId="7" fillId="9" borderId="1" xfId="3" applyFont="1" applyFill="1" applyBorder="1" applyAlignment="1">
      <alignment horizontal="center"/>
    </xf>
    <xf numFmtId="165" fontId="28" fillId="9" borderId="1" xfId="3" applyNumberFormat="1" applyFont="1" applyFill="1" applyBorder="1"/>
    <xf numFmtId="0" fontId="32" fillId="9" borderId="1" xfId="3" applyFont="1" applyFill="1" applyBorder="1" applyAlignment="1">
      <alignment horizontal="left" wrapText="1"/>
    </xf>
    <xf numFmtId="0" fontId="7" fillId="9" borderId="1" xfId="7" applyFont="1" applyFill="1" applyBorder="1" applyAlignment="1">
      <alignment horizontal="center"/>
    </xf>
    <xf numFmtId="0" fontId="23" fillId="9" borderId="1" xfId="3" applyFont="1" applyFill="1" applyBorder="1" applyAlignment="1">
      <alignment horizontal="center"/>
    </xf>
    <xf numFmtId="0" fontId="28" fillId="0" borderId="1" xfId="3" applyFont="1" applyFill="1" applyBorder="1" applyAlignment="1">
      <alignment horizontal="center" vertical="center"/>
    </xf>
    <xf numFmtId="0" fontId="9" fillId="0" borderId="24" xfId="5" applyFont="1" applyBorder="1" applyAlignment="1" applyProtection="1">
      <alignment horizontal="center"/>
      <protection locked="0"/>
    </xf>
    <xf numFmtId="0" fontId="9" fillId="0" borderId="25" xfId="5" applyFont="1" applyBorder="1" applyAlignment="1" applyProtection="1">
      <alignment horizontal="center"/>
      <protection locked="0"/>
    </xf>
    <xf numFmtId="0" fontId="9" fillId="0" borderId="26" xfId="5" applyFont="1" applyBorder="1" applyAlignment="1" applyProtection="1">
      <alignment horizontal="center"/>
      <protection locked="0"/>
    </xf>
    <xf numFmtId="0" fontId="30" fillId="10" borderId="32" xfId="3" applyFont="1" applyFill="1" applyBorder="1" applyAlignment="1">
      <alignment horizontal="center" wrapText="1"/>
    </xf>
    <xf numFmtId="0" fontId="30" fillId="10" borderId="31" xfId="3" applyFont="1" applyFill="1" applyBorder="1" applyAlignment="1">
      <alignment horizontal="center" wrapText="1"/>
    </xf>
    <xf numFmtId="0" fontId="30" fillId="10" borderId="27" xfId="3" applyFont="1" applyFill="1" applyBorder="1" applyAlignment="1">
      <alignment horizontal="center" wrapText="1"/>
    </xf>
    <xf numFmtId="0" fontId="30" fillId="13" borderId="9" xfId="3" applyFont="1" applyFill="1" applyBorder="1" applyAlignment="1">
      <alignment horizontal="center"/>
    </xf>
    <xf numFmtId="0" fontId="30" fillId="13" borderId="0" xfId="3" applyFont="1" applyFill="1" applyBorder="1" applyAlignment="1">
      <alignment horizontal="center"/>
    </xf>
    <xf numFmtId="0" fontId="30" fillId="13" borderId="12" xfId="3" applyFont="1" applyFill="1" applyBorder="1" applyAlignment="1">
      <alignment horizontal="center"/>
    </xf>
    <xf numFmtId="0" fontId="30" fillId="15" borderId="9" xfId="3" applyFont="1" applyFill="1" applyBorder="1" applyAlignment="1">
      <alignment horizontal="center"/>
    </xf>
    <xf numFmtId="0" fontId="30" fillId="15" borderId="0" xfId="3" applyFont="1" applyFill="1" applyBorder="1" applyAlignment="1">
      <alignment horizontal="center"/>
    </xf>
    <xf numFmtId="0" fontId="30" fillId="15" borderId="12" xfId="3" applyFont="1" applyFill="1" applyBorder="1" applyAlignment="1">
      <alignment horizontal="center"/>
    </xf>
    <xf numFmtId="0" fontId="30" fillId="9" borderId="9" xfId="3" applyFont="1" applyFill="1" applyBorder="1" applyAlignment="1">
      <alignment horizontal="center"/>
    </xf>
    <xf numFmtId="0" fontId="30" fillId="9" borderId="0" xfId="3" applyFont="1" applyFill="1" applyBorder="1" applyAlignment="1">
      <alignment horizontal="center"/>
    </xf>
    <xf numFmtId="0" fontId="30" fillId="9" borderId="12" xfId="3" applyFont="1" applyFill="1" applyBorder="1" applyAlignment="1">
      <alignment horizontal="center"/>
    </xf>
    <xf numFmtId="0" fontId="30" fillId="12" borderId="9" xfId="3" applyFont="1" applyFill="1" applyBorder="1" applyAlignment="1">
      <alignment horizontal="center"/>
    </xf>
    <xf numFmtId="0" fontId="30" fillId="12" borderId="0" xfId="3" applyFont="1" applyFill="1" applyBorder="1" applyAlignment="1">
      <alignment horizontal="center"/>
    </xf>
    <xf numFmtId="0" fontId="30" fillId="12" borderId="12" xfId="3" applyFont="1" applyFill="1" applyBorder="1" applyAlignment="1">
      <alignment horizontal="center"/>
    </xf>
    <xf numFmtId="0" fontId="30" fillId="7" borderId="9" xfId="3" applyFont="1" applyFill="1" applyBorder="1" applyAlignment="1">
      <alignment horizontal="center"/>
    </xf>
    <xf numFmtId="0" fontId="30" fillId="7" borderId="0" xfId="3" applyFont="1" applyFill="1" applyBorder="1" applyAlignment="1">
      <alignment horizontal="center"/>
    </xf>
    <xf numFmtId="0" fontId="30" fillId="7" borderId="12" xfId="3" applyFont="1" applyFill="1" applyBorder="1" applyAlignment="1">
      <alignment horizontal="center"/>
    </xf>
    <xf numFmtId="0" fontId="30" fillId="16" borderId="9" xfId="3" applyFont="1" applyFill="1" applyBorder="1" applyAlignment="1">
      <alignment horizontal="center"/>
    </xf>
    <xf numFmtId="0" fontId="30" fillId="16" borderId="0" xfId="3" applyFont="1" applyFill="1" applyBorder="1" applyAlignment="1">
      <alignment horizontal="center"/>
    </xf>
    <xf numFmtId="0" fontId="30" fillId="16" borderId="12" xfId="3" applyFont="1" applyFill="1" applyBorder="1" applyAlignment="1">
      <alignment horizontal="center"/>
    </xf>
    <xf numFmtId="0" fontId="29" fillId="13" borderId="17" xfId="2" applyFont="1" applyFill="1" applyBorder="1" applyAlignment="1">
      <alignment horizontal="center"/>
    </xf>
    <xf numFmtId="0" fontId="29" fillId="13" borderId="18" xfId="2" applyFont="1" applyFill="1" applyBorder="1" applyAlignment="1">
      <alignment horizontal="center"/>
    </xf>
    <xf numFmtId="0" fontId="28" fillId="0" borderId="17" xfId="3" quotePrefix="1" applyFont="1" applyBorder="1" applyAlignment="1">
      <alignment horizontal="center" wrapText="1"/>
    </xf>
    <xf numFmtId="0" fontId="28" fillId="0" borderId="18" xfId="3" quotePrefix="1" applyFont="1" applyBorder="1" applyAlignment="1">
      <alignment horizontal="center" wrapText="1"/>
    </xf>
    <xf numFmtId="0" fontId="27" fillId="0" borderId="17" xfId="8" quotePrefix="1" applyFont="1" applyFill="1" applyBorder="1" applyAlignment="1">
      <alignment horizontal="center" wrapText="1"/>
    </xf>
    <xf numFmtId="0" fontId="27" fillId="0" borderId="18" xfId="8" quotePrefix="1" applyFont="1" applyFill="1" applyBorder="1" applyAlignment="1">
      <alignment horizontal="center" wrapText="1"/>
    </xf>
    <xf numFmtId="0" fontId="28" fillId="9" borderId="17" xfId="3" quotePrefix="1" applyFont="1" applyFill="1" applyBorder="1" applyAlignment="1">
      <alignment horizontal="center" wrapText="1"/>
    </xf>
    <xf numFmtId="0" fontId="28" fillId="9" borderId="18" xfId="3" quotePrefix="1" applyFont="1" applyFill="1" applyBorder="1" applyAlignment="1">
      <alignment horizontal="center" wrapText="1"/>
    </xf>
    <xf numFmtId="10" fontId="27" fillId="0" borderId="17" xfId="7" quotePrefix="1" applyNumberFormat="1" applyFont="1" applyFill="1" applyBorder="1" applyAlignment="1">
      <alignment horizontal="center" vertical="center" wrapText="1"/>
    </xf>
    <xf numFmtId="10" fontId="27" fillId="0" borderId="18" xfId="7" quotePrefix="1" applyNumberFormat="1" applyFont="1" applyFill="1" applyBorder="1" applyAlignment="1">
      <alignment horizontal="center" vertical="center" wrapText="1"/>
    </xf>
    <xf numFmtId="0" fontId="27" fillId="9" borderId="17" xfId="3" quotePrefix="1" applyFont="1" applyFill="1" applyBorder="1" applyAlignment="1">
      <alignment horizontal="center" wrapText="1"/>
    </xf>
    <xf numFmtId="0" fontId="27" fillId="9" borderId="18" xfId="3" quotePrefix="1" applyFont="1" applyFill="1" applyBorder="1" applyAlignment="1">
      <alignment horizontal="center" wrapText="1"/>
    </xf>
    <xf numFmtId="0" fontId="27" fillId="16" borderId="17" xfId="3" quotePrefix="1" applyFont="1" applyFill="1" applyBorder="1" applyAlignment="1">
      <alignment horizontal="center" wrapText="1"/>
    </xf>
    <xf numFmtId="0" fontId="27" fillId="16" borderId="18" xfId="3" quotePrefix="1" applyFont="1" applyFill="1" applyBorder="1" applyAlignment="1">
      <alignment horizontal="center" wrapText="1"/>
    </xf>
    <xf numFmtId="0" fontId="28" fillId="10" borderId="17" xfId="3" quotePrefix="1" applyFont="1" applyFill="1" applyBorder="1" applyAlignment="1">
      <alignment horizontal="center" wrapText="1"/>
    </xf>
    <xf numFmtId="0" fontId="28" fillId="10" borderId="18" xfId="3" quotePrefix="1" applyFont="1" applyFill="1" applyBorder="1" applyAlignment="1">
      <alignment horizontal="center" wrapText="1"/>
    </xf>
    <xf numFmtId="0" fontId="28" fillId="0" borderId="17" xfId="3" applyFont="1" applyFill="1" applyBorder="1" applyAlignment="1">
      <alignment horizontal="center" wrapText="1"/>
    </xf>
    <xf numFmtId="0" fontId="28" fillId="0" borderId="18" xfId="3" applyFont="1" applyFill="1" applyBorder="1" applyAlignment="1">
      <alignment horizontal="center" wrapText="1"/>
    </xf>
    <xf numFmtId="0" fontId="33" fillId="0" borderId="17" xfId="3" applyFont="1" applyBorder="1" applyAlignment="1">
      <alignment horizontal="center"/>
    </xf>
    <xf numFmtId="0" fontId="33" fillId="0" borderId="18" xfId="3" applyFont="1" applyBorder="1" applyAlignment="1">
      <alignment horizontal="center"/>
    </xf>
    <xf numFmtId="0" fontId="27" fillId="9" borderId="17" xfId="8" quotePrefix="1" applyFont="1" applyFill="1" applyBorder="1" applyAlignment="1">
      <alignment horizontal="center" wrapText="1"/>
    </xf>
    <xf numFmtId="0" fontId="27" fillId="9" borderId="18" xfId="8" quotePrefix="1" applyFont="1" applyFill="1" applyBorder="1" applyAlignment="1">
      <alignment horizontal="center" wrapText="1"/>
    </xf>
    <xf numFmtId="0" fontId="27" fillId="0" borderId="17" xfId="8" quotePrefix="1" applyFont="1" applyFill="1" applyBorder="1" applyAlignment="1">
      <alignment horizontal="center"/>
    </xf>
    <xf numFmtId="0" fontId="27" fillId="0" borderId="18" xfId="8" quotePrefix="1" applyFont="1" applyFill="1" applyBorder="1" applyAlignment="1">
      <alignment horizontal="center"/>
    </xf>
    <xf numFmtId="0" fontId="28" fillId="0" borderId="17" xfId="3" quotePrefix="1" applyFont="1" applyFill="1" applyBorder="1" applyAlignment="1">
      <alignment horizontal="center" wrapText="1"/>
    </xf>
    <xf numFmtId="166" fontId="22" fillId="0" borderId="21" xfId="2" applyNumberFormat="1" applyFont="1" applyFill="1" applyBorder="1" applyAlignment="1">
      <alignment horizontal="center" vertical="center"/>
    </xf>
    <xf numFmtId="166" fontId="22" fillId="0" borderId="22" xfId="2" applyNumberFormat="1" applyFont="1" applyFill="1" applyBorder="1" applyAlignment="1">
      <alignment horizontal="center" vertical="center"/>
    </xf>
    <xf numFmtId="166" fontId="22" fillId="0" borderId="23" xfId="2" applyNumberFormat="1" applyFont="1" applyFill="1" applyBorder="1" applyAlignment="1">
      <alignment horizontal="center" vertical="center"/>
    </xf>
    <xf numFmtId="9" fontId="22" fillId="0" borderId="21" xfId="2" applyNumberFormat="1" applyFont="1" applyFill="1" applyBorder="1" applyAlignment="1">
      <alignment horizontal="center" vertical="center"/>
    </xf>
    <xf numFmtId="9" fontId="22" fillId="0" borderId="22" xfId="2" applyNumberFormat="1" applyFont="1" applyFill="1" applyBorder="1" applyAlignment="1">
      <alignment horizontal="center" vertical="center"/>
    </xf>
    <xf numFmtId="9" fontId="22" fillId="0" borderId="23" xfId="2" applyNumberFormat="1" applyFont="1" applyFill="1" applyBorder="1" applyAlignment="1">
      <alignment horizontal="center" vertical="center"/>
    </xf>
    <xf numFmtId="9" fontId="22" fillId="0" borderId="11" xfId="2" applyNumberFormat="1" applyFont="1" applyFill="1" applyBorder="1" applyAlignment="1">
      <alignment horizontal="center" vertical="center"/>
    </xf>
    <xf numFmtId="0" fontId="54" fillId="13" borderId="17" xfId="3" quotePrefix="1" applyFont="1" applyFill="1" applyBorder="1" applyAlignment="1">
      <alignment horizontal="center" vertical="center" wrapText="1"/>
    </xf>
    <xf numFmtId="0" fontId="54" fillId="13" borderId="18" xfId="3" quotePrefix="1" applyFont="1" applyFill="1" applyBorder="1" applyAlignment="1">
      <alignment horizontal="center" vertical="center" wrapText="1"/>
    </xf>
    <xf numFmtId="0" fontId="5" fillId="3" borderId="17" xfId="5" applyFont="1" applyFill="1" applyBorder="1" applyAlignment="1" applyProtection="1">
      <alignment horizontal="center" vertical="center" wrapText="1"/>
    </xf>
    <xf numFmtId="0" fontId="5" fillId="3" borderId="18" xfId="5" applyFont="1" applyFill="1" applyBorder="1" applyAlignment="1" applyProtection="1">
      <alignment horizontal="center" vertical="center" wrapText="1"/>
    </xf>
    <xf numFmtId="0" fontId="29" fillId="13" borderId="17" xfId="2" applyFont="1" applyFill="1" applyBorder="1" applyAlignment="1">
      <alignment horizontal="center" vertical="center" wrapText="1"/>
    </xf>
    <xf numFmtId="0" fontId="29" fillId="13" borderId="18" xfId="2" applyFont="1" applyFill="1" applyBorder="1" applyAlignment="1">
      <alignment horizontal="center" vertical="center" wrapText="1"/>
    </xf>
    <xf numFmtId="0" fontId="28" fillId="0" borderId="17" xfId="3" quotePrefix="1" applyFont="1" applyFill="1" applyBorder="1" applyAlignment="1">
      <alignment horizontal="center" vertical="center" wrapText="1"/>
    </xf>
    <xf numFmtId="0" fontId="28" fillId="0" borderId="18" xfId="3" quotePrefix="1" applyFont="1" applyFill="1" applyBorder="1" applyAlignment="1">
      <alignment horizontal="center" vertical="center" wrapText="1"/>
    </xf>
    <xf numFmtId="0" fontId="29" fillId="13" borderId="17" xfId="3" applyFont="1" applyFill="1" applyBorder="1" applyAlignment="1">
      <alignment horizontal="center" vertical="center"/>
    </xf>
    <xf numFmtId="0" fontId="29" fillId="13" borderId="18" xfId="3" applyFont="1" applyFill="1" applyBorder="1" applyAlignment="1">
      <alignment horizontal="center" vertical="center"/>
    </xf>
    <xf numFmtId="165" fontId="22" fillId="0" borderId="11" xfId="2" applyNumberFormat="1" applyFont="1" applyFill="1" applyBorder="1" applyAlignment="1">
      <alignment horizontal="center" vertical="center"/>
    </xf>
    <xf numFmtId="10" fontId="22" fillId="0" borderId="11" xfId="2" applyNumberFormat="1" applyFont="1" applyFill="1" applyBorder="1" applyAlignment="1">
      <alignment horizontal="center" vertical="center"/>
    </xf>
    <xf numFmtId="0" fontId="28" fillId="0" borderId="18" xfId="3" quotePrefix="1" applyFont="1" applyFill="1" applyBorder="1" applyAlignment="1">
      <alignment horizontal="center" wrapText="1"/>
    </xf>
    <xf numFmtId="0" fontId="24" fillId="8" borderId="33" xfId="3" applyFont="1" applyFill="1" applyBorder="1" applyAlignment="1">
      <alignment horizontal="center" vertical="center" wrapText="1"/>
    </xf>
    <xf numFmtId="0" fontId="24" fillId="8" borderId="34" xfId="3" applyFont="1" applyFill="1" applyBorder="1" applyAlignment="1">
      <alignment horizontal="center" vertical="center" wrapText="1"/>
    </xf>
    <xf numFmtId="0" fontId="28" fillId="0" borderId="1" xfId="3" applyFont="1" applyBorder="1" applyAlignment="1">
      <alignment horizontal="center" vertical="center"/>
    </xf>
    <xf numFmtId="0" fontId="28" fillId="9" borderId="18" xfId="3" applyFont="1" applyFill="1" applyBorder="1" applyAlignment="1">
      <alignment horizontal="center" wrapText="1"/>
    </xf>
    <xf numFmtId="0" fontId="27" fillId="7" borderId="17" xfId="3" quotePrefix="1" applyFont="1" applyFill="1" applyBorder="1" applyAlignment="1">
      <alignment horizontal="center" wrapText="1"/>
    </xf>
    <xf numFmtId="0" fontId="27" fillId="7" borderId="18" xfId="3" quotePrefix="1" applyFont="1" applyFill="1" applyBorder="1" applyAlignment="1">
      <alignment horizontal="center" wrapText="1"/>
    </xf>
    <xf numFmtId="0" fontId="28" fillId="16" borderId="17" xfId="3" quotePrefix="1" applyFont="1" applyFill="1" applyBorder="1" applyAlignment="1">
      <alignment horizontal="center" wrapText="1"/>
    </xf>
    <xf numFmtId="0" fontId="28" fillId="16" borderId="18" xfId="3" applyFont="1" applyFill="1" applyBorder="1" applyAlignment="1">
      <alignment horizontal="center" wrapText="1"/>
    </xf>
  </cellXfs>
  <cellStyles count="14">
    <cellStyle name="Comma 2" xfId="1"/>
    <cellStyle name="Hyperlink" xfId="11" builtinId="8"/>
    <cellStyle name="Input" xfId="2" builtinId="20"/>
    <cellStyle name="Normal" xfId="0" builtinId="0"/>
    <cellStyle name="Normal 2" xfId="12"/>
    <cellStyle name="Normal 2 2" xfId="3"/>
    <cellStyle name="Normal 3" xfId="4"/>
    <cellStyle name="Normal 3 2" xfId="5"/>
    <cellStyle name="Normal 3 2 2" xfId="13"/>
    <cellStyle name="Normal_E-13OIL1" xfId="6"/>
    <cellStyle name="Normal_npsl_vv_report_test-nlj1" xfId="7"/>
    <cellStyle name="Normal_prudoor14" xfId="8"/>
    <cellStyle name="Percent" xfId="9" builtinId="5"/>
    <cellStyle name="Percent 2" xfId="10"/>
  </cellStyles>
  <dxfs count="4">
    <dxf>
      <font>
        <b/>
        <i val="0"/>
        <strike val="0"/>
        <condense val="0"/>
        <extend val="0"/>
      </font>
    </dxf>
    <dxf>
      <font>
        <b/>
        <i val="0"/>
        <strike val="0"/>
        <condense val="0"/>
        <extend val="0"/>
      </font>
    </dxf>
    <dxf>
      <font>
        <b/>
        <i val="0"/>
        <strike val="0"/>
        <condense val="0"/>
        <extend val="0"/>
      </font>
    </dxf>
    <dxf>
      <font>
        <b/>
        <i val="0"/>
        <strike val="0"/>
        <condense val="0"/>
        <extend val="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og.dnr.alaska.gov/Royalty/ReportingInstruction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1"/>
  <sheetViews>
    <sheetView showGridLines="0" zoomScale="130" zoomScaleNormal="130" workbookViewId="0">
      <selection activeCell="A5" sqref="A5"/>
    </sheetView>
  </sheetViews>
  <sheetFormatPr defaultColWidth="9.109375" defaultRowHeight="13.2" x14ac:dyDescent="0.25"/>
  <cols>
    <col min="1" max="1" width="173.5546875" style="273" customWidth="1"/>
    <col min="2" max="16384" width="9.109375" style="273"/>
  </cols>
  <sheetData>
    <row r="1" spans="1:7" ht="41.25" customHeight="1" x14ac:dyDescent="0.25">
      <c r="A1" s="272" t="s">
        <v>416</v>
      </c>
    </row>
    <row r="2" spans="1:7" ht="279" customHeight="1" x14ac:dyDescent="0.25">
      <c r="A2" s="274" t="s">
        <v>554</v>
      </c>
    </row>
    <row r="3" spans="1:7" x14ac:dyDescent="0.25">
      <c r="A3" s="275" t="s">
        <v>415</v>
      </c>
    </row>
    <row r="4" spans="1:7" ht="17.399999999999999" x14ac:dyDescent="0.3">
      <c r="A4" s="200" t="s">
        <v>413</v>
      </c>
    </row>
    <row r="5" spans="1:7" x14ac:dyDescent="0.25">
      <c r="A5" s="276"/>
    </row>
    <row r="6" spans="1:7" x14ac:dyDescent="0.25">
      <c r="A6" s="276"/>
    </row>
    <row r="7" spans="1:7" x14ac:dyDescent="0.25">
      <c r="A7" s="276"/>
    </row>
    <row r="8" spans="1:7" x14ac:dyDescent="0.25">
      <c r="A8" s="276" t="s">
        <v>414</v>
      </c>
    </row>
    <row r="9" spans="1:7" x14ac:dyDescent="0.25">
      <c r="A9" s="276"/>
    </row>
    <row r="10" spans="1:7" ht="20.399999999999999" x14ac:dyDescent="0.35">
      <c r="A10" s="276"/>
      <c r="G10" s="199"/>
    </row>
    <row r="11" spans="1:7" x14ac:dyDescent="0.25">
      <c r="A11" s="276"/>
    </row>
  </sheetData>
  <hyperlinks>
    <hyperlink ref="A4" r:id="rId1"/>
  </hyperlinks>
  <pageMargins left="0.7" right="0.7" top="0.65" bottom="0.75" header="0.3" footer="0.3"/>
  <pageSetup scale="7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82"/>
  <sheetViews>
    <sheetView topLeftCell="A29" zoomScale="120" zoomScaleNormal="120" workbookViewId="0">
      <selection activeCell="M40" sqref="M40"/>
    </sheetView>
  </sheetViews>
  <sheetFormatPr defaultColWidth="9.109375" defaultRowHeight="10.199999999999999" x14ac:dyDescent="0.2"/>
  <cols>
    <col min="1" max="1" width="4.6640625" style="48" customWidth="1"/>
    <col min="2" max="2" width="9.33203125" style="48" customWidth="1"/>
    <col min="3" max="3" width="10.88671875" style="48" customWidth="1"/>
    <col min="4" max="4" width="11.109375" style="48" bestFit="1" customWidth="1"/>
    <col min="5" max="5" width="9.88671875" style="48" bestFit="1" customWidth="1"/>
    <col min="6" max="6" width="16.109375" style="49" customWidth="1"/>
    <col min="7" max="7" width="12.88671875" style="60" customWidth="1"/>
    <col min="8" max="8" width="11.88671875" style="60" customWidth="1"/>
    <col min="9" max="9" width="13.44140625" style="60" customWidth="1"/>
    <col min="10" max="10" width="40" style="141" customWidth="1"/>
    <col min="11" max="11" width="22.33203125" style="141" bestFit="1" customWidth="1"/>
    <col min="12" max="16384" width="9.109375" style="141"/>
  </cols>
  <sheetData>
    <row r="1" spans="1:16" ht="37.5" customHeight="1" x14ac:dyDescent="0.2">
      <c r="A1" s="2" t="s">
        <v>547</v>
      </c>
      <c r="B1" s="140"/>
      <c r="C1" s="29"/>
      <c r="D1" s="29"/>
      <c r="E1" s="29"/>
      <c r="F1" s="30"/>
      <c r="G1" s="29" t="s">
        <v>528</v>
      </c>
      <c r="H1" s="29"/>
      <c r="I1" s="29"/>
    </row>
    <row r="2" spans="1:16" x14ac:dyDescent="0.2">
      <c r="A2" s="3" t="s">
        <v>38</v>
      </c>
      <c r="B2" s="11"/>
      <c r="C2" s="11" t="s">
        <v>519</v>
      </c>
      <c r="D2" s="11"/>
      <c r="E2" s="11"/>
      <c r="F2" s="185" t="s">
        <v>35</v>
      </c>
      <c r="G2" s="10"/>
      <c r="H2" s="11"/>
      <c r="I2" s="11"/>
      <c r="J2" s="31"/>
      <c r="K2" s="31"/>
    </row>
    <row r="3" spans="1:16" ht="13.5" customHeight="1" x14ac:dyDescent="0.2">
      <c r="A3" s="9" t="s">
        <v>33</v>
      </c>
      <c r="B3" s="11"/>
      <c r="C3" s="11" t="s">
        <v>280</v>
      </c>
      <c r="D3" s="11"/>
      <c r="E3" s="11"/>
      <c r="F3" s="185" t="s">
        <v>36</v>
      </c>
      <c r="G3" s="10"/>
      <c r="H3" s="51"/>
      <c r="I3" s="51"/>
      <c r="J3" s="31"/>
      <c r="K3" s="31"/>
    </row>
    <row r="4" spans="1:16" x14ac:dyDescent="0.2">
      <c r="A4" s="12" t="s">
        <v>39</v>
      </c>
      <c r="B4" s="15"/>
      <c r="C4" s="11"/>
      <c r="D4" s="15"/>
      <c r="E4" s="15"/>
      <c r="F4" s="185" t="s">
        <v>234</v>
      </c>
      <c r="G4" s="15"/>
      <c r="H4" s="15"/>
      <c r="I4" s="15"/>
      <c r="J4" s="31"/>
      <c r="K4" s="31"/>
    </row>
    <row r="5" spans="1:16" s="143" customFormat="1" x14ac:dyDescent="0.2">
      <c r="A5" s="9" t="s">
        <v>14</v>
      </c>
      <c r="B5" s="11"/>
      <c r="C5" s="11"/>
      <c r="D5" s="11"/>
      <c r="E5" s="11"/>
      <c r="F5" s="186" t="s">
        <v>344</v>
      </c>
      <c r="G5" s="10"/>
      <c r="H5" s="11"/>
      <c r="I5" s="11"/>
      <c r="J5" s="33"/>
      <c r="K5" s="33"/>
      <c r="L5" s="142"/>
      <c r="M5" s="142"/>
      <c r="N5" s="142"/>
      <c r="O5" s="142"/>
      <c r="P5" s="142"/>
    </row>
    <row r="6" spans="1:16" s="144" customFormat="1" x14ac:dyDescent="0.2">
      <c r="A6" s="9" t="s">
        <v>26</v>
      </c>
      <c r="B6" s="11"/>
      <c r="C6" s="11"/>
      <c r="D6" s="11"/>
      <c r="E6" s="11"/>
      <c r="F6" s="185" t="s">
        <v>173</v>
      </c>
      <c r="G6" s="10"/>
      <c r="H6" s="11"/>
      <c r="I6" s="52"/>
      <c r="J6" s="31"/>
      <c r="K6" s="31"/>
      <c r="L6" s="141"/>
      <c r="M6" s="141"/>
      <c r="N6" s="141"/>
      <c r="O6" s="141"/>
      <c r="P6" s="141"/>
    </row>
    <row r="7" spans="1:16" x14ac:dyDescent="0.2">
      <c r="A7" s="9" t="s">
        <v>15</v>
      </c>
      <c r="B7" s="11"/>
      <c r="C7" s="11"/>
      <c r="D7" s="11"/>
      <c r="E7" s="11"/>
      <c r="F7" s="187">
        <v>42767</v>
      </c>
      <c r="G7" s="10"/>
      <c r="H7" s="11"/>
      <c r="I7" s="11"/>
      <c r="J7" s="31"/>
      <c r="K7" s="31"/>
    </row>
    <row r="8" spans="1:16" x14ac:dyDescent="0.2">
      <c r="A8" s="9" t="s">
        <v>17</v>
      </c>
      <c r="B8" s="11"/>
      <c r="C8" s="11"/>
      <c r="D8" s="11"/>
      <c r="E8" s="11"/>
      <c r="F8" s="186" t="s">
        <v>385</v>
      </c>
      <c r="G8" s="10"/>
      <c r="H8" s="11"/>
      <c r="I8" s="11"/>
      <c r="J8" s="31"/>
      <c r="K8" s="31"/>
    </row>
    <row r="9" spans="1:16" x14ac:dyDescent="0.2">
      <c r="A9" s="9" t="s">
        <v>5</v>
      </c>
      <c r="B9" s="11"/>
      <c r="C9" s="11"/>
      <c r="D9" s="11"/>
      <c r="E9" s="11"/>
      <c r="F9" s="187">
        <v>42887</v>
      </c>
      <c r="G9" s="10"/>
      <c r="H9" s="11"/>
      <c r="I9" s="11"/>
      <c r="J9" s="31"/>
      <c r="K9" s="31"/>
    </row>
    <row r="10" spans="1:16" x14ac:dyDescent="0.2">
      <c r="A10" s="9" t="s">
        <v>16</v>
      </c>
      <c r="B10" s="11"/>
      <c r="C10" s="11"/>
      <c r="D10" s="11"/>
      <c r="E10" s="11"/>
      <c r="F10" s="185" t="s">
        <v>550</v>
      </c>
      <c r="G10" s="10"/>
      <c r="H10" s="11"/>
      <c r="I10" s="11"/>
      <c r="J10" s="31"/>
      <c r="K10" s="31"/>
    </row>
    <row r="11" spans="1:16" x14ac:dyDescent="0.2">
      <c r="A11" s="9" t="s">
        <v>13</v>
      </c>
      <c r="B11" s="11"/>
      <c r="C11" s="11"/>
      <c r="D11" s="11"/>
      <c r="E11" s="11"/>
      <c r="F11" s="188">
        <v>42916</v>
      </c>
      <c r="G11" s="11"/>
      <c r="H11" s="11"/>
      <c r="I11" s="11"/>
      <c r="J11" s="31"/>
      <c r="K11" s="31"/>
    </row>
    <row r="12" spans="1:16" x14ac:dyDescent="0.2">
      <c r="A12" s="9" t="s">
        <v>7</v>
      </c>
      <c r="B12" s="11"/>
      <c r="C12" s="11"/>
      <c r="D12" s="11"/>
      <c r="E12" s="11"/>
      <c r="F12" s="185">
        <v>123456</v>
      </c>
      <c r="G12" s="10"/>
      <c r="H12" s="11"/>
      <c r="I12" s="11"/>
      <c r="J12" s="31"/>
      <c r="K12" s="31"/>
    </row>
    <row r="13" spans="1:16" x14ac:dyDescent="0.2">
      <c r="A13" s="9"/>
      <c r="B13" s="11"/>
      <c r="C13" s="11"/>
      <c r="D13" s="11"/>
      <c r="E13" s="11"/>
      <c r="F13" s="52"/>
      <c r="G13" s="10"/>
      <c r="H13" s="11"/>
      <c r="I13" s="11"/>
      <c r="J13" s="31"/>
      <c r="K13" s="31"/>
    </row>
    <row r="14" spans="1:16" x14ac:dyDescent="0.2">
      <c r="A14" s="9"/>
      <c r="B14" s="11"/>
      <c r="C14" s="11"/>
      <c r="D14" s="11"/>
      <c r="E14" s="11"/>
      <c r="F14" s="52"/>
      <c r="G14" s="10"/>
      <c r="H14" s="11"/>
      <c r="I14" s="11"/>
      <c r="J14" s="31"/>
      <c r="K14" s="31"/>
    </row>
    <row r="15" spans="1:16" s="144" customFormat="1" ht="12" customHeight="1" x14ac:dyDescent="0.2">
      <c r="A15" s="34"/>
      <c r="B15" s="11"/>
      <c r="C15" s="11"/>
      <c r="D15" s="11"/>
      <c r="E15" s="11"/>
      <c r="F15" s="52"/>
      <c r="G15" s="10"/>
      <c r="H15" s="11"/>
      <c r="I15" s="11"/>
      <c r="J15" s="31"/>
      <c r="K15" s="31"/>
      <c r="L15" s="141"/>
      <c r="M15" s="141"/>
      <c r="N15" s="141"/>
      <c r="O15" s="141"/>
      <c r="P15" s="141"/>
    </row>
    <row r="16" spans="1:16" x14ac:dyDescent="0.2">
      <c r="A16" s="9"/>
      <c r="B16" s="11"/>
      <c r="C16" s="11"/>
      <c r="D16" s="11"/>
      <c r="E16" s="11"/>
      <c r="F16" s="52"/>
      <c r="G16" s="10"/>
      <c r="H16" s="11"/>
      <c r="I16" s="11"/>
      <c r="J16" s="31"/>
      <c r="K16" s="31"/>
    </row>
    <row r="17" spans="1:11" x14ac:dyDescent="0.2">
      <c r="A17" s="9"/>
      <c r="B17" s="11"/>
      <c r="C17" s="11"/>
      <c r="D17" s="11"/>
      <c r="E17" s="11"/>
      <c r="F17" s="52"/>
      <c r="G17" s="10"/>
      <c r="H17" s="11"/>
      <c r="I17" s="11"/>
      <c r="J17" s="31"/>
      <c r="K17" s="31"/>
    </row>
    <row r="18" spans="1:11" x14ac:dyDescent="0.2">
      <c r="A18" s="9"/>
      <c r="B18" s="11"/>
      <c r="C18" s="11"/>
      <c r="D18" s="11"/>
      <c r="E18" s="11"/>
      <c r="F18" s="52"/>
      <c r="G18" s="53"/>
      <c r="H18" s="53"/>
      <c r="I18" s="53"/>
      <c r="J18" s="31"/>
      <c r="K18" s="31"/>
    </row>
    <row r="19" spans="1:11" x14ac:dyDescent="0.2">
      <c r="A19" s="9" t="s">
        <v>22</v>
      </c>
      <c r="B19" s="11"/>
      <c r="C19" s="11"/>
      <c r="D19" s="11"/>
      <c r="E19" s="11"/>
      <c r="F19" s="185" t="s">
        <v>235</v>
      </c>
      <c r="G19" s="11"/>
      <c r="H19" s="11"/>
      <c r="I19" s="11"/>
      <c r="J19" s="31"/>
      <c r="K19" s="31"/>
    </row>
    <row r="20" spans="1:11" x14ac:dyDescent="0.2">
      <c r="A20" s="9" t="s">
        <v>27</v>
      </c>
      <c r="B20" s="11"/>
      <c r="C20" s="11"/>
      <c r="D20" s="11"/>
      <c r="E20" s="11"/>
      <c r="F20" s="185" t="s">
        <v>529</v>
      </c>
      <c r="G20" s="11"/>
      <c r="H20" s="11"/>
      <c r="I20" s="11"/>
      <c r="J20" s="31"/>
      <c r="K20" s="31"/>
    </row>
    <row r="21" spans="1:11" x14ac:dyDescent="0.2">
      <c r="A21" s="9" t="s">
        <v>0</v>
      </c>
      <c r="B21" s="11"/>
      <c r="C21" s="11"/>
      <c r="D21" s="11"/>
      <c r="E21" s="11"/>
      <c r="F21" s="185" t="s">
        <v>236</v>
      </c>
      <c r="G21" s="11"/>
      <c r="H21" s="11"/>
      <c r="I21" s="11"/>
      <c r="J21" s="31"/>
      <c r="K21" s="31"/>
    </row>
    <row r="22" spans="1:11" x14ac:dyDescent="0.2">
      <c r="A22" s="9" t="s">
        <v>1</v>
      </c>
      <c r="B22" s="11"/>
      <c r="C22" s="11"/>
      <c r="D22" s="11"/>
      <c r="E22" s="11"/>
      <c r="F22" s="185" t="s">
        <v>236</v>
      </c>
      <c r="G22" s="11"/>
      <c r="H22" s="11"/>
      <c r="I22" s="11"/>
      <c r="J22" s="31"/>
      <c r="K22" s="31"/>
    </row>
    <row r="23" spans="1:11" x14ac:dyDescent="0.2">
      <c r="A23" s="9" t="s">
        <v>2</v>
      </c>
      <c r="B23" s="11"/>
      <c r="C23" s="11"/>
      <c r="D23" s="11"/>
      <c r="E23" s="11"/>
      <c r="F23" s="185" t="s">
        <v>236</v>
      </c>
      <c r="G23" s="11"/>
      <c r="H23" s="11"/>
      <c r="I23" s="11"/>
      <c r="J23" s="31"/>
      <c r="K23" s="31"/>
    </row>
    <row r="24" spans="1:11" x14ac:dyDescent="0.2">
      <c r="A24" s="9" t="s">
        <v>3</v>
      </c>
      <c r="B24" s="11"/>
      <c r="C24" s="11"/>
      <c r="D24" s="11"/>
      <c r="E24" s="11"/>
      <c r="F24" s="185" t="s">
        <v>236</v>
      </c>
      <c r="G24" s="11"/>
      <c r="H24" s="11"/>
      <c r="I24" s="11"/>
      <c r="J24" s="31"/>
      <c r="K24" s="31"/>
    </row>
    <row r="25" spans="1:11" x14ac:dyDescent="0.2">
      <c r="A25" s="9" t="s">
        <v>4</v>
      </c>
      <c r="B25" s="11"/>
      <c r="C25" s="11"/>
      <c r="D25" s="11"/>
      <c r="E25" s="11"/>
      <c r="F25" s="185" t="s">
        <v>236</v>
      </c>
      <c r="G25" s="11"/>
      <c r="H25" s="11"/>
      <c r="I25" s="11"/>
      <c r="J25" s="31"/>
      <c r="K25" s="31"/>
    </row>
    <row r="26" spans="1:11" x14ac:dyDescent="0.2">
      <c r="A26" s="9" t="s">
        <v>6</v>
      </c>
      <c r="B26" s="11"/>
      <c r="C26" s="11"/>
      <c r="D26" s="11"/>
      <c r="E26" s="11"/>
      <c r="F26" s="185" t="s">
        <v>236</v>
      </c>
      <c r="G26" s="11"/>
      <c r="H26" s="11"/>
      <c r="I26" s="11"/>
      <c r="J26" s="31"/>
      <c r="K26" s="31"/>
    </row>
    <row r="27" spans="1:11" x14ac:dyDescent="0.2">
      <c r="A27" s="9" t="s">
        <v>8</v>
      </c>
      <c r="B27" s="11"/>
      <c r="C27" s="11"/>
      <c r="D27" s="11"/>
      <c r="E27" s="11"/>
      <c r="F27" s="185" t="s">
        <v>236</v>
      </c>
      <c r="G27" s="11"/>
      <c r="H27" s="11"/>
      <c r="I27" s="11"/>
      <c r="J27" s="31"/>
      <c r="K27" s="31"/>
    </row>
    <row r="28" spans="1:11" x14ac:dyDescent="0.2">
      <c r="A28" s="9" t="s">
        <v>9</v>
      </c>
      <c r="B28" s="11"/>
      <c r="C28" s="11"/>
      <c r="D28" s="11"/>
      <c r="E28" s="11"/>
      <c r="F28" s="185" t="s">
        <v>236</v>
      </c>
      <c r="G28" s="11"/>
      <c r="H28" s="11"/>
      <c r="I28" s="11"/>
      <c r="J28" s="31"/>
      <c r="K28" s="31"/>
    </row>
    <row r="29" spans="1:11" x14ac:dyDescent="0.2">
      <c r="A29" s="9" t="s">
        <v>12</v>
      </c>
      <c r="B29" s="11"/>
      <c r="C29" s="11"/>
      <c r="D29" s="11"/>
      <c r="E29" s="11"/>
      <c r="F29" s="185" t="s">
        <v>236</v>
      </c>
      <c r="G29" s="11"/>
      <c r="H29" s="11"/>
      <c r="I29" s="11"/>
      <c r="J29" s="31"/>
      <c r="K29" s="31"/>
    </row>
    <row r="30" spans="1:11" x14ac:dyDescent="0.2">
      <c r="A30" s="9" t="s">
        <v>18</v>
      </c>
      <c r="B30" s="11"/>
      <c r="C30" s="11"/>
      <c r="D30" s="11"/>
      <c r="E30" s="11"/>
      <c r="F30" s="185" t="s">
        <v>236</v>
      </c>
      <c r="G30" s="11"/>
      <c r="H30" s="11"/>
      <c r="I30" s="11"/>
      <c r="J30" s="31"/>
      <c r="K30" s="31"/>
    </row>
    <row r="31" spans="1:11" x14ac:dyDescent="0.2">
      <c r="A31" s="9" t="s">
        <v>10</v>
      </c>
      <c r="B31" s="11"/>
      <c r="C31" s="11"/>
      <c r="D31" s="11"/>
      <c r="E31" s="11"/>
      <c r="F31" s="185" t="s">
        <v>236</v>
      </c>
      <c r="G31" s="11"/>
      <c r="H31" s="11"/>
      <c r="I31" s="11"/>
      <c r="J31" s="31"/>
      <c r="K31" s="31"/>
    </row>
    <row r="32" spans="1:11" x14ac:dyDescent="0.2">
      <c r="A32" s="9" t="s">
        <v>11</v>
      </c>
      <c r="B32" s="11"/>
      <c r="C32" s="11"/>
      <c r="D32" s="11"/>
      <c r="E32" s="11"/>
      <c r="F32" s="185" t="s">
        <v>236</v>
      </c>
      <c r="G32" s="11"/>
      <c r="H32" s="11"/>
      <c r="I32" s="11"/>
      <c r="J32" s="31"/>
      <c r="K32" s="31"/>
    </row>
    <row r="33" spans="1:11" customFormat="1" ht="20.399999999999999" x14ac:dyDescent="0.25">
      <c r="A33" s="216" t="s">
        <v>19</v>
      </c>
      <c r="B33" s="216" t="s">
        <v>28</v>
      </c>
      <c r="C33" s="216" t="s">
        <v>29</v>
      </c>
      <c r="D33" s="216" t="s">
        <v>20</v>
      </c>
      <c r="E33" s="216" t="s">
        <v>30</v>
      </c>
      <c r="F33" s="216" t="s">
        <v>31</v>
      </c>
      <c r="G33" s="216" t="s">
        <v>21</v>
      </c>
      <c r="H33" s="216" t="s">
        <v>32</v>
      </c>
      <c r="I33" s="216" t="s">
        <v>237</v>
      </c>
      <c r="J33" s="216" t="s">
        <v>66</v>
      </c>
      <c r="K33" s="216" t="s">
        <v>345</v>
      </c>
    </row>
    <row r="34" spans="1:11" x14ac:dyDescent="0.2">
      <c r="A34" s="35">
        <v>1</v>
      </c>
      <c r="B34" s="44" t="s">
        <v>238</v>
      </c>
      <c r="C34" s="54" t="s">
        <v>239</v>
      </c>
      <c r="D34" s="44" t="s">
        <v>240</v>
      </c>
      <c r="E34" s="65">
        <v>800000.12</v>
      </c>
      <c r="F34" s="71"/>
      <c r="G34" s="65"/>
      <c r="H34" s="55" t="s">
        <v>241</v>
      </c>
      <c r="I34" s="37">
        <v>0</v>
      </c>
      <c r="J34" s="190" t="s">
        <v>242</v>
      </c>
      <c r="K34" s="189"/>
    </row>
    <row r="35" spans="1:11" x14ac:dyDescent="0.2">
      <c r="A35" s="35">
        <f>+A34+1</f>
        <v>2</v>
      </c>
      <c r="B35" s="44" t="s">
        <v>238</v>
      </c>
      <c r="C35" s="54" t="s">
        <v>239</v>
      </c>
      <c r="D35" s="47" t="s">
        <v>379</v>
      </c>
      <c r="E35" s="65">
        <v>80000.009999999995</v>
      </c>
      <c r="F35" s="71"/>
      <c r="G35" s="65"/>
      <c r="H35" s="55" t="s">
        <v>241</v>
      </c>
      <c r="I35" s="168">
        <v>0</v>
      </c>
      <c r="J35" s="190" t="s">
        <v>380</v>
      </c>
      <c r="K35" s="189"/>
    </row>
    <row r="36" spans="1:11" x14ac:dyDescent="0.2">
      <c r="A36" s="35">
        <f>+A35+1</f>
        <v>3</v>
      </c>
      <c r="B36" s="44" t="s">
        <v>238</v>
      </c>
      <c r="C36" s="54" t="s">
        <v>239</v>
      </c>
      <c r="D36" s="47" t="s">
        <v>381</v>
      </c>
      <c r="E36" s="217">
        <f>E34-E35</f>
        <v>720000.11</v>
      </c>
      <c r="F36" s="71"/>
      <c r="G36" s="65"/>
      <c r="H36" s="55" t="s">
        <v>241</v>
      </c>
      <c r="I36" s="168">
        <v>0</v>
      </c>
      <c r="J36" s="190" t="s">
        <v>382</v>
      </c>
      <c r="K36" s="219" t="s">
        <v>425</v>
      </c>
    </row>
    <row r="37" spans="1:11" x14ac:dyDescent="0.2">
      <c r="A37" s="35">
        <f t="shared" ref="A37:A78" si="0">+A36+1</f>
        <v>4</v>
      </c>
      <c r="B37" s="44" t="s">
        <v>238</v>
      </c>
      <c r="C37" s="54" t="s">
        <v>243</v>
      </c>
      <c r="D37" s="44" t="s">
        <v>244</v>
      </c>
      <c r="E37" s="66">
        <v>100000.02</v>
      </c>
      <c r="F37" s="71"/>
      <c r="G37" s="65"/>
      <c r="H37" s="55" t="s">
        <v>241</v>
      </c>
      <c r="I37" s="37">
        <v>0</v>
      </c>
      <c r="J37" s="190" t="s">
        <v>245</v>
      </c>
      <c r="K37" s="191"/>
    </row>
    <row r="38" spans="1:11" x14ac:dyDescent="0.2">
      <c r="A38" s="35">
        <f t="shared" si="0"/>
        <v>5</v>
      </c>
      <c r="B38" s="44" t="s">
        <v>238</v>
      </c>
      <c r="C38" s="54" t="s">
        <v>243</v>
      </c>
      <c r="D38" s="44" t="s">
        <v>246</v>
      </c>
      <c r="E38" s="217">
        <f>E37-E39</f>
        <v>90000.02</v>
      </c>
      <c r="F38" s="72"/>
      <c r="G38" s="65"/>
      <c r="H38" s="55" t="s">
        <v>241</v>
      </c>
      <c r="I38" s="37">
        <v>0</v>
      </c>
      <c r="J38" s="190" t="s">
        <v>247</v>
      </c>
      <c r="K38" s="219" t="s">
        <v>426</v>
      </c>
    </row>
    <row r="39" spans="1:11" x14ac:dyDescent="0.2">
      <c r="A39" s="35">
        <f t="shared" si="0"/>
        <v>6</v>
      </c>
      <c r="B39" s="44" t="s">
        <v>238</v>
      </c>
      <c r="C39" s="54" t="s">
        <v>243</v>
      </c>
      <c r="D39" s="56" t="s">
        <v>248</v>
      </c>
      <c r="E39" s="66">
        <v>10000</v>
      </c>
      <c r="F39" s="72"/>
      <c r="G39" s="65"/>
      <c r="H39" s="55" t="s">
        <v>241</v>
      </c>
      <c r="I39" s="37">
        <v>0</v>
      </c>
      <c r="J39" s="190" t="s">
        <v>249</v>
      </c>
      <c r="K39" s="191"/>
    </row>
    <row r="40" spans="1:11" x14ac:dyDescent="0.2">
      <c r="A40" s="35">
        <f t="shared" si="0"/>
        <v>7</v>
      </c>
      <c r="B40" s="44" t="s">
        <v>238</v>
      </c>
      <c r="C40" s="54" t="s">
        <v>243</v>
      </c>
      <c r="D40" s="221" t="s">
        <v>480</v>
      </c>
      <c r="E40" s="66">
        <v>200000</v>
      </c>
      <c r="F40" s="72"/>
      <c r="G40" s="65"/>
      <c r="H40" s="55" t="s">
        <v>241</v>
      </c>
      <c r="I40" s="37">
        <v>0</v>
      </c>
      <c r="J40" s="232" t="s">
        <v>481</v>
      </c>
      <c r="K40" s="191" t="s">
        <v>143</v>
      </c>
    </row>
    <row r="41" spans="1:11" x14ac:dyDescent="0.2">
      <c r="A41" s="35">
        <f t="shared" si="0"/>
        <v>8</v>
      </c>
      <c r="B41" s="36" t="s">
        <v>238</v>
      </c>
      <c r="C41" s="57" t="s">
        <v>243</v>
      </c>
      <c r="D41" s="38" t="s">
        <v>250</v>
      </c>
      <c r="E41" s="66"/>
      <c r="F41" s="203">
        <v>52.64</v>
      </c>
      <c r="G41" s="65"/>
      <c r="H41" s="55" t="s">
        <v>241</v>
      </c>
      <c r="I41" s="37">
        <v>0</v>
      </c>
      <c r="J41" s="190" t="s">
        <v>251</v>
      </c>
      <c r="K41" s="191"/>
    </row>
    <row r="42" spans="1:11" x14ac:dyDescent="0.2">
      <c r="A42" s="35">
        <f t="shared" si="0"/>
        <v>9</v>
      </c>
      <c r="B42" s="36" t="s">
        <v>238</v>
      </c>
      <c r="C42" s="57" t="s">
        <v>243</v>
      </c>
      <c r="D42" s="38" t="s">
        <v>383</v>
      </c>
      <c r="E42" s="66"/>
      <c r="F42" s="203">
        <v>-0.22234000000000001</v>
      </c>
      <c r="G42" s="65"/>
      <c r="H42" s="55" t="s">
        <v>241</v>
      </c>
      <c r="I42" s="168">
        <v>0</v>
      </c>
      <c r="J42" s="190" t="s">
        <v>384</v>
      </c>
      <c r="K42" s="191"/>
    </row>
    <row r="43" spans="1:11" x14ac:dyDescent="0.2">
      <c r="A43" s="35">
        <f t="shared" si="0"/>
        <v>10</v>
      </c>
      <c r="B43" s="36" t="s">
        <v>238</v>
      </c>
      <c r="C43" s="57" t="s">
        <v>243</v>
      </c>
      <c r="D43" s="38" t="s">
        <v>252</v>
      </c>
      <c r="E43" s="66"/>
      <c r="F43" s="203">
        <v>-4.8678900000000001</v>
      </c>
      <c r="G43" s="65"/>
      <c r="H43" s="55" t="s">
        <v>241</v>
      </c>
      <c r="I43" s="168">
        <v>0</v>
      </c>
      <c r="J43" s="190" t="s">
        <v>253</v>
      </c>
      <c r="K43" s="191"/>
    </row>
    <row r="44" spans="1:11" x14ac:dyDescent="0.2">
      <c r="A44" s="35">
        <f t="shared" si="0"/>
        <v>11</v>
      </c>
      <c r="B44" s="36" t="s">
        <v>238</v>
      </c>
      <c r="C44" s="57" t="s">
        <v>243</v>
      </c>
      <c r="D44" s="38" t="s">
        <v>254</v>
      </c>
      <c r="E44" s="66"/>
      <c r="F44" s="203">
        <v>-0.09</v>
      </c>
      <c r="G44" s="65"/>
      <c r="H44" s="55" t="s">
        <v>241</v>
      </c>
      <c r="I44" s="168">
        <v>0</v>
      </c>
      <c r="J44" s="190" t="s">
        <v>255</v>
      </c>
      <c r="K44" s="191"/>
    </row>
    <row r="45" spans="1:11" x14ac:dyDescent="0.2">
      <c r="A45" s="35">
        <f t="shared" si="0"/>
        <v>12</v>
      </c>
      <c r="B45" s="36" t="s">
        <v>238</v>
      </c>
      <c r="C45" s="57" t="s">
        <v>243</v>
      </c>
      <c r="D45" s="38" t="s">
        <v>256</v>
      </c>
      <c r="E45" s="66"/>
      <c r="F45" s="203">
        <v>-1.19</v>
      </c>
      <c r="G45" s="65"/>
      <c r="H45" s="55" t="s">
        <v>241</v>
      </c>
      <c r="I45" s="168">
        <v>0</v>
      </c>
      <c r="J45" s="190" t="s">
        <v>257</v>
      </c>
      <c r="K45" s="191"/>
    </row>
    <row r="46" spans="1:11" x14ac:dyDescent="0.2">
      <c r="A46" s="35">
        <f t="shared" si="0"/>
        <v>13</v>
      </c>
      <c r="B46" s="36" t="s">
        <v>238</v>
      </c>
      <c r="C46" s="57" t="s">
        <v>243</v>
      </c>
      <c r="D46" s="38" t="s">
        <v>326</v>
      </c>
      <c r="E46" s="66"/>
      <c r="F46" s="203">
        <v>-1.37</v>
      </c>
      <c r="G46" s="65"/>
      <c r="H46" s="55" t="s">
        <v>241</v>
      </c>
      <c r="I46" s="168">
        <v>0</v>
      </c>
      <c r="J46" s="190" t="s">
        <v>327</v>
      </c>
      <c r="K46" s="191"/>
    </row>
    <row r="47" spans="1:11" x14ac:dyDescent="0.2">
      <c r="A47" s="35">
        <f t="shared" si="0"/>
        <v>14</v>
      </c>
      <c r="B47" s="36" t="s">
        <v>238</v>
      </c>
      <c r="C47" s="57" t="s">
        <v>243</v>
      </c>
      <c r="D47" s="38" t="s">
        <v>258</v>
      </c>
      <c r="E47" s="66"/>
      <c r="F47" s="203">
        <v>0</v>
      </c>
      <c r="G47" s="65"/>
      <c r="H47" s="55" t="s">
        <v>241</v>
      </c>
      <c r="I47" s="168">
        <v>0</v>
      </c>
      <c r="J47" s="190" t="s">
        <v>259</v>
      </c>
      <c r="K47" s="191"/>
    </row>
    <row r="48" spans="1:11" x14ac:dyDescent="0.2">
      <c r="A48" s="35">
        <f t="shared" si="0"/>
        <v>15</v>
      </c>
      <c r="B48" s="36" t="s">
        <v>238</v>
      </c>
      <c r="C48" s="57" t="s">
        <v>243</v>
      </c>
      <c r="D48" s="38" t="s">
        <v>260</v>
      </c>
      <c r="E48" s="66"/>
      <c r="F48" s="203">
        <v>0</v>
      </c>
      <c r="G48" s="65"/>
      <c r="H48" s="55" t="s">
        <v>241</v>
      </c>
      <c r="I48" s="168">
        <v>0</v>
      </c>
      <c r="J48" s="190" t="s">
        <v>261</v>
      </c>
      <c r="K48" s="191"/>
    </row>
    <row r="49" spans="1:18" x14ac:dyDescent="0.2">
      <c r="A49" s="35">
        <f t="shared" si="0"/>
        <v>16</v>
      </c>
      <c r="B49" s="36" t="s">
        <v>238</v>
      </c>
      <c r="C49" s="57" t="s">
        <v>243</v>
      </c>
      <c r="D49" s="38" t="s">
        <v>262</v>
      </c>
      <c r="E49" s="66"/>
      <c r="F49" s="203">
        <v>0</v>
      </c>
      <c r="G49" s="65"/>
      <c r="H49" s="55" t="s">
        <v>241</v>
      </c>
      <c r="I49" s="168">
        <v>0</v>
      </c>
      <c r="J49" s="190" t="s">
        <v>263</v>
      </c>
      <c r="K49" s="191"/>
    </row>
    <row r="50" spans="1:18" x14ac:dyDescent="0.2">
      <c r="A50" s="35">
        <f t="shared" si="0"/>
        <v>17</v>
      </c>
      <c r="B50" s="44" t="s">
        <v>238</v>
      </c>
      <c r="C50" s="54" t="s">
        <v>243</v>
      </c>
      <c r="D50" s="44" t="s">
        <v>264</v>
      </c>
      <c r="E50" s="66"/>
      <c r="F50" s="218">
        <f>SUM(F41:F49)</f>
        <v>44.899769999999997</v>
      </c>
      <c r="G50" s="65"/>
      <c r="H50" s="55" t="s">
        <v>241</v>
      </c>
      <c r="I50" s="37">
        <v>0</v>
      </c>
      <c r="J50" s="190" t="s">
        <v>265</v>
      </c>
      <c r="K50" s="219" t="s">
        <v>423</v>
      </c>
    </row>
    <row r="51" spans="1:18" x14ac:dyDescent="0.2">
      <c r="A51" s="35">
        <f t="shared" si="0"/>
        <v>18</v>
      </c>
      <c r="B51" s="44" t="s">
        <v>238</v>
      </c>
      <c r="C51" s="58" t="s">
        <v>243</v>
      </c>
      <c r="D51" s="47" t="s">
        <v>266</v>
      </c>
      <c r="E51" s="66"/>
      <c r="F51" s="203">
        <v>0</v>
      </c>
      <c r="G51" s="65"/>
      <c r="H51" s="55" t="s">
        <v>241</v>
      </c>
      <c r="I51" s="37">
        <v>0</v>
      </c>
      <c r="J51" s="190" t="s">
        <v>267</v>
      </c>
      <c r="K51" s="191"/>
    </row>
    <row r="52" spans="1:18" x14ac:dyDescent="0.2">
      <c r="A52" s="35">
        <f t="shared" si="0"/>
        <v>19</v>
      </c>
      <c r="B52" s="44" t="s">
        <v>238</v>
      </c>
      <c r="C52" s="58" t="s">
        <v>243</v>
      </c>
      <c r="D52" s="47" t="s">
        <v>268</v>
      </c>
      <c r="E52" s="66"/>
      <c r="F52" s="218">
        <f>+F50+F51</f>
        <v>44.899769999999997</v>
      </c>
      <c r="G52" s="65"/>
      <c r="H52" s="55" t="s">
        <v>241</v>
      </c>
      <c r="I52" s="37">
        <v>0</v>
      </c>
      <c r="J52" s="190" t="s">
        <v>269</v>
      </c>
      <c r="K52" s="219" t="s">
        <v>424</v>
      </c>
    </row>
    <row r="53" spans="1:18" ht="21" x14ac:dyDescent="0.25">
      <c r="A53" s="35">
        <f t="shared" si="0"/>
        <v>20</v>
      </c>
      <c r="B53" s="44" t="s">
        <v>238</v>
      </c>
      <c r="C53" s="54" t="s">
        <v>243</v>
      </c>
      <c r="D53" s="44" t="s">
        <v>270</v>
      </c>
      <c r="E53" s="65"/>
      <c r="F53" s="204"/>
      <c r="G53" s="205">
        <v>4500</v>
      </c>
      <c r="H53" s="55" t="s">
        <v>241</v>
      </c>
      <c r="I53" s="239">
        <v>99</v>
      </c>
      <c r="J53" s="220" t="s">
        <v>510</v>
      </c>
      <c r="K53" s="242" t="s">
        <v>491</v>
      </c>
      <c r="L53"/>
      <c r="M53"/>
      <c r="N53"/>
      <c r="O53"/>
      <c r="P53"/>
      <c r="Q53"/>
      <c r="R53"/>
    </row>
    <row r="54" spans="1:18" ht="21" x14ac:dyDescent="0.25">
      <c r="A54" s="35">
        <f t="shared" si="0"/>
        <v>21</v>
      </c>
      <c r="B54" s="44" t="s">
        <v>238</v>
      </c>
      <c r="C54" s="54" t="s">
        <v>243</v>
      </c>
      <c r="D54" s="222" t="s">
        <v>464</v>
      </c>
      <c r="E54" s="65"/>
      <c r="F54" s="204"/>
      <c r="G54" s="207">
        <f>ROUND(E40*$F$52,2)</f>
        <v>8979954</v>
      </c>
      <c r="H54" s="55" t="s">
        <v>241</v>
      </c>
      <c r="I54" s="37">
        <v>0</v>
      </c>
      <c r="J54" s="220" t="s">
        <v>492</v>
      </c>
      <c r="K54" s="219" t="s">
        <v>490</v>
      </c>
      <c r="L54"/>
      <c r="M54"/>
      <c r="N54"/>
      <c r="O54"/>
      <c r="P54"/>
      <c r="Q54"/>
      <c r="R54"/>
    </row>
    <row r="55" spans="1:18" ht="21" x14ac:dyDescent="0.25">
      <c r="A55" s="35">
        <f t="shared" si="0"/>
        <v>22</v>
      </c>
      <c r="B55" s="44" t="s">
        <v>238</v>
      </c>
      <c r="C55" s="54" t="s">
        <v>243</v>
      </c>
      <c r="D55" s="44" t="s">
        <v>271</v>
      </c>
      <c r="E55" s="65"/>
      <c r="F55" s="204" t="s">
        <v>69</v>
      </c>
      <c r="G55" s="207">
        <f>ROUND((+E36*F52)+G53,2)</f>
        <v>32332339.34</v>
      </c>
      <c r="H55" s="55" t="s">
        <v>241</v>
      </c>
      <c r="I55" s="168">
        <v>0</v>
      </c>
      <c r="J55" s="220" t="s">
        <v>483</v>
      </c>
      <c r="K55" s="219" t="s">
        <v>432</v>
      </c>
      <c r="L55"/>
      <c r="M55"/>
      <c r="N55"/>
      <c r="O55"/>
      <c r="P55"/>
      <c r="Q55"/>
      <c r="R55"/>
    </row>
    <row r="56" spans="1:18" ht="13.2" x14ac:dyDescent="0.25">
      <c r="A56" s="35">
        <f>+A55+1</f>
        <v>23</v>
      </c>
      <c r="B56" s="44" t="s">
        <v>238</v>
      </c>
      <c r="C56" s="54" t="s">
        <v>243</v>
      </c>
      <c r="D56" s="44" t="s">
        <v>272</v>
      </c>
      <c r="E56" s="65"/>
      <c r="F56" s="204"/>
      <c r="G56" s="207">
        <f>ROUND(+E37*$F$52,2)</f>
        <v>4489977.9000000004</v>
      </c>
      <c r="H56" s="55" t="s">
        <v>241</v>
      </c>
      <c r="I56" s="168">
        <v>0</v>
      </c>
      <c r="J56" s="190" t="s">
        <v>273</v>
      </c>
      <c r="K56" s="219" t="s">
        <v>433</v>
      </c>
      <c r="L56"/>
      <c r="M56"/>
      <c r="N56"/>
      <c r="O56"/>
      <c r="P56"/>
      <c r="Q56"/>
      <c r="R56"/>
    </row>
    <row r="57" spans="1:18" ht="13.2" x14ac:dyDescent="0.25">
      <c r="A57" s="35">
        <f>+A56+1</f>
        <v>24</v>
      </c>
      <c r="B57" s="44" t="s">
        <v>238</v>
      </c>
      <c r="C57" s="54" t="s">
        <v>243</v>
      </c>
      <c r="D57" s="44" t="s">
        <v>274</v>
      </c>
      <c r="E57" s="65"/>
      <c r="F57" s="204">
        <v>0.19839999999999999</v>
      </c>
      <c r="G57" s="205"/>
      <c r="H57" s="55" t="s">
        <v>241</v>
      </c>
      <c r="I57" s="168">
        <v>0</v>
      </c>
      <c r="J57" s="189" t="s">
        <v>275</v>
      </c>
      <c r="K57" s="191" t="s">
        <v>422</v>
      </c>
      <c r="L57"/>
      <c r="M57"/>
      <c r="N57"/>
      <c r="O57"/>
      <c r="P57"/>
      <c r="Q57"/>
      <c r="R57"/>
    </row>
    <row r="58" spans="1:18" ht="21" x14ac:dyDescent="0.25">
      <c r="A58" s="35">
        <f t="shared" si="0"/>
        <v>25</v>
      </c>
      <c r="B58" s="44" t="s">
        <v>238</v>
      </c>
      <c r="C58" s="54" t="s">
        <v>243</v>
      </c>
      <c r="D58" s="44" t="s">
        <v>34</v>
      </c>
      <c r="E58" s="65"/>
      <c r="F58" s="204" t="s">
        <v>69</v>
      </c>
      <c r="G58" s="207">
        <f>ROUND(+$E$36*F57,2)</f>
        <v>142848.01999999999</v>
      </c>
      <c r="H58" s="55" t="s">
        <v>241</v>
      </c>
      <c r="I58" s="168">
        <v>0</v>
      </c>
      <c r="J58" s="220" t="s">
        <v>429</v>
      </c>
      <c r="K58" s="219" t="s">
        <v>434</v>
      </c>
      <c r="L58"/>
      <c r="M58"/>
      <c r="N58"/>
      <c r="O58"/>
      <c r="P58"/>
      <c r="Q58"/>
      <c r="R58"/>
    </row>
    <row r="59" spans="1:18" x14ac:dyDescent="0.2">
      <c r="A59" s="35">
        <f t="shared" si="0"/>
        <v>26</v>
      </c>
      <c r="B59" s="44" t="s">
        <v>238</v>
      </c>
      <c r="C59" s="54" t="s">
        <v>243</v>
      </c>
      <c r="D59" s="44" t="s">
        <v>277</v>
      </c>
      <c r="E59" s="65"/>
      <c r="F59" s="204">
        <v>0.96</v>
      </c>
      <c r="G59" s="206"/>
      <c r="H59" s="55" t="s">
        <v>241</v>
      </c>
      <c r="I59" s="37">
        <v>0</v>
      </c>
      <c r="J59" s="189" t="s">
        <v>278</v>
      </c>
      <c r="K59" s="191"/>
    </row>
    <row r="60" spans="1:18" x14ac:dyDescent="0.2">
      <c r="A60" s="35">
        <f t="shared" si="0"/>
        <v>27</v>
      </c>
      <c r="B60" s="44" t="s">
        <v>238</v>
      </c>
      <c r="C60" s="54" t="s">
        <v>243</v>
      </c>
      <c r="D60" s="44" t="s">
        <v>95</v>
      </c>
      <c r="E60" s="65"/>
      <c r="F60" s="204"/>
      <c r="G60" s="207">
        <f>ROUND(+$E$34*F59,2)</f>
        <v>768000.12</v>
      </c>
      <c r="H60" s="55" t="s">
        <v>241</v>
      </c>
      <c r="I60" s="37">
        <v>0</v>
      </c>
      <c r="J60" s="189" t="s">
        <v>279</v>
      </c>
      <c r="K60" s="219" t="s">
        <v>435</v>
      </c>
    </row>
    <row r="61" spans="1:18" ht="11.25" customHeight="1" x14ac:dyDescent="0.2">
      <c r="A61" s="35">
        <f t="shared" si="0"/>
        <v>28</v>
      </c>
      <c r="B61" s="36" t="s">
        <v>114</v>
      </c>
      <c r="C61" s="70" t="s">
        <v>340</v>
      </c>
      <c r="D61" s="36" t="s">
        <v>240</v>
      </c>
      <c r="E61" s="65">
        <v>1886.69</v>
      </c>
      <c r="F61" s="204"/>
      <c r="G61" s="205"/>
      <c r="H61" s="55" t="s">
        <v>437</v>
      </c>
      <c r="I61" s="37">
        <v>0</v>
      </c>
      <c r="J61" s="190" t="s">
        <v>328</v>
      </c>
      <c r="K61" s="191"/>
    </row>
    <row r="62" spans="1:18" x14ac:dyDescent="0.2">
      <c r="A62" s="35">
        <f t="shared" si="0"/>
        <v>29</v>
      </c>
      <c r="B62" s="36" t="s">
        <v>114</v>
      </c>
      <c r="C62" s="70" t="s">
        <v>341</v>
      </c>
      <c r="D62" s="36" t="s">
        <v>244</v>
      </c>
      <c r="E62" s="66">
        <v>235.84</v>
      </c>
      <c r="F62" s="204"/>
      <c r="G62" s="205"/>
      <c r="H62" s="55" t="s">
        <v>437</v>
      </c>
      <c r="I62" s="37">
        <v>0</v>
      </c>
      <c r="J62" s="190" t="s">
        <v>245</v>
      </c>
      <c r="K62" s="191"/>
    </row>
    <row r="63" spans="1:18" x14ac:dyDescent="0.2">
      <c r="A63" s="35">
        <f t="shared" si="0"/>
        <v>30</v>
      </c>
      <c r="B63" s="69" t="s">
        <v>114</v>
      </c>
      <c r="C63" s="70" t="s">
        <v>341</v>
      </c>
      <c r="D63" s="69" t="s">
        <v>336</v>
      </c>
      <c r="E63" s="217">
        <f>ROUND(E62/I75,2)</f>
        <v>39.31</v>
      </c>
      <c r="F63" s="203"/>
      <c r="G63" s="206"/>
      <c r="H63" s="55" t="s">
        <v>437</v>
      </c>
      <c r="I63" s="37">
        <v>0</v>
      </c>
      <c r="J63" s="190" t="s">
        <v>339</v>
      </c>
      <c r="K63" s="219" t="s">
        <v>349</v>
      </c>
    </row>
    <row r="64" spans="1:18" x14ac:dyDescent="0.2">
      <c r="A64" s="35">
        <f t="shared" si="0"/>
        <v>31</v>
      </c>
      <c r="B64" s="36" t="s">
        <v>114</v>
      </c>
      <c r="C64" s="70" t="s">
        <v>341</v>
      </c>
      <c r="D64" s="36" t="s">
        <v>246</v>
      </c>
      <c r="E64" s="217">
        <f>E62-E65</f>
        <v>235.84</v>
      </c>
      <c r="F64" s="203"/>
      <c r="G64" s="206"/>
      <c r="H64" s="55" t="s">
        <v>437</v>
      </c>
      <c r="I64" s="37">
        <v>0</v>
      </c>
      <c r="J64" s="190" t="s">
        <v>247</v>
      </c>
      <c r="K64" s="219" t="s">
        <v>427</v>
      </c>
    </row>
    <row r="65" spans="1:11" x14ac:dyDescent="0.2">
      <c r="A65" s="35">
        <f t="shared" si="0"/>
        <v>32</v>
      </c>
      <c r="B65" s="36" t="s">
        <v>114</v>
      </c>
      <c r="C65" s="70" t="s">
        <v>341</v>
      </c>
      <c r="D65" s="59" t="s">
        <v>248</v>
      </c>
      <c r="E65" s="66">
        <v>0</v>
      </c>
      <c r="F65" s="203"/>
      <c r="G65" s="206"/>
      <c r="H65" s="55" t="s">
        <v>437</v>
      </c>
      <c r="I65" s="37">
        <v>0</v>
      </c>
      <c r="J65" s="190" t="s">
        <v>249</v>
      </c>
      <c r="K65" s="191"/>
    </row>
    <row r="66" spans="1:11" x14ac:dyDescent="0.2">
      <c r="A66" s="35">
        <f t="shared" si="0"/>
        <v>33</v>
      </c>
      <c r="B66" s="36" t="s">
        <v>114</v>
      </c>
      <c r="C66" s="70" t="s">
        <v>341</v>
      </c>
      <c r="D66" s="221" t="s">
        <v>480</v>
      </c>
      <c r="E66" s="66">
        <v>500</v>
      </c>
      <c r="F66" s="203"/>
      <c r="G66" s="206"/>
      <c r="H66" s="55" t="s">
        <v>437</v>
      </c>
      <c r="I66" s="37">
        <v>0</v>
      </c>
      <c r="J66" s="232" t="s">
        <v>481</v>
      </c>
      <c r="K66" s="191" t="s">
        <v>143</v>
      </c>
    </row>
    <row r="67" spans="1:11" x14ac:dyDescent="0.2">
      <c r="A67" s="35">
        <f t="shared" si="0"/>
        <v>34</v>
      </c>
      <c r="B67" s="36" t="s">
        <v>114</v>
      </c>
      <c r="C67" s="70" t="s">
        <v>341</v>
      </c>
      <c r="D67" s="38" t="s">
        <v>250</v>
      </c>
      <c r="E67" s="66"/>
      <c r="F67" s="203">
        <v>3.58</v>
      </c>
      <c r="G67" s="206"/>
      <c r="H67" s="55" t="s">
        <v>437</v>
      </c>
      <c r="I67" s="37">
        <v>0</v>
      </c>
      <c r="J67" s="190" t="s">
        <v>251</v>
      </c>
      <c r="K67" s="191"/>
    </row>
    <row r="68" spans="1:11" x14ac:dyDescent="0.2">
      <c r="A68" s="35">
        <f t="shared" si="0"/>
        <v>35</v>
      </c>
      <c r="B68" s="36" t="s">
        <v>114</v>
      </c>
      <c r="C68" s="70" t="s">
        <v>341</v>
      </c>
      <c r="D68" s="36" t="s">
        <v>264</v>
      </c>
      <c r="E68" s="66"/>
      <c r="F68" s="218">
        <f>+F67</f>
        <v>3.58</v>
      </c>
      <c r="G68" s="206"/>
      <c r="H68" s="55" t="s">
        <v>437</v>
      </c>
      <c r="I68" s="37">
        <v>0</v>
      </c>
      <c r="J68" s="190" t="s">
        <v>265</v>
      </c>
      <c r="K68" s="219" t="s">
        <v>428</v>
      </c>
    </row>
    <row r="69" spans="1:11" x14ac:dyDescent="0.2">
      <c r="A69" s="35">
        <f t="shared" si="0"/>
        <v>36</v>
      </c>
      <c r="B69" s="36" t="s">
        <v>114</v>
      </c>
      <c r="C69" s="70" t="s">
        <v>341</v>
      </c>
      <c r="D69" s="47" t="s">
        <v>266</v>
      </c>
      <c r="E69" s="66"/>
      <c r="F69" s="203">
        <v>0</v>
      </c>
      <c r="G69" s="206"/>
      <c r="H69" s="55" t="s">
        <v>437</v>
      </c>
      <c r="I69" s="37">
        <v>0</v>
      </c>
      <c r="J69" s="190" t="s">
        <v>267</v>
      </c>
      <c r="K69" s="191"/>
    </row>
    <row r="70" spans="1:11" x14ac:dyDescent="0.2">
      <c r="A70" s="35">
        <f t="shared" si="0"/>
        <v>37</v>
      </c>
      <c r="B70" s="36" t="s">
        <v>114</v>
      </c>
      <c r="C70" s="70" t="s">
        <v>341</v>
      </c>
      <c r="D70" s="47" t="s">
        <v>268</v>
      </c>
      <c r="E70" s="66"/>
      <c r="F70" s="218">
        <f>+F68+F69</f>
        <v>3.58</v>
      </c>
      <c r="G70" s="206"/>
      <c r="H70" s="55" t="s">
        <v>437</v>
      </c>
      <c r="I70" s="42">
        <v>0</v>
      </c>
      <c r="J70" s="190" t="s">
        <v>269</v>
      </c>
      <c r="K70" s="219" t="s">
        <v>424</v>
      </c>
    </row>
    <row r="71" spans="1:11" ht="20.399999999999999" x14ac:dyDescent="0.2">
      <c r="A71" s="35">
        <f t="shared" si="0"/>
        <v>38</v>
      </c>
      <c r="B71" s="36" t="s">
        <v>114</v>
      </c>
      <c r="C71" s="70" t="s">
        <v>341</v>
      </c>
      <c r="D71" s="44" t="s">
        <v>270</v>
      </c>
      <c r="E71" s="66"/>
      <c r="F71" s="203"/>
      <c r="G71" s="206">
        <v>0</v>
      </c>
      <c r="H71" s="55" t="s">
        <v>437</v>
      </c>
      <c r="I71" s="239">
        <v>0</v>
      </c>
      <c r="J71" s="220" t="s">
        <v>510</v>
      </c>
      <c r="K71" s="242" t="s">
        <v>491</v>
      </c>
    </row>
    <row r="72" spans="1:11" ht="20.399999999999999" x14ac:dyDescent="0.2">
      <c r="A72" s="35">
        <f t="shared" si="0"/>
        <v>39</v>
      </c>
      <c r="B72" s="36" t="s">
        <v>114</v>
      </c>
      <c r="C72" s="70" t="s">
        <v>341</v>
      </c>
      <c r="D72" s="222" t="s">
        <v>464</v>
      </c>
      <c r="E72" s="65"/>
      <c r="F72" s="204"/>
      <c r="G72" s="207">
        <f>ROUND(E66*$F$70,2)</f>
        <v>1790</v>
      </c>
      <c r="H72" s="55" t="s">
        <v>437</v>
      </c>
      <c r="I72" s="37">
        <v>0</v>
      </c>
      <c r="J72" s="220" t="s">
        <v>492</v>
      </c>
      <c r="K72" s="219" t="s">
        <v>490</v>
      </c>
    </row>
    <row r="73" spans="1:11" x14ac:dyDescent="0.2">
      <c r="A73" s="35">
        <f t="shared" si="0"/>
        <v>40</v>
      </c>
      <c r="B73" s="36" t="s">
        <v>114</v>
      </c>
      <c r="C73" s="70" t="s">
        <v>341</v>
      </c>
      <c r="D73" s="36" t="s">
        <v>271</v>
      </c>
      <c r="E73" s="66"/>
      <c r="F73" s="203"/>
      <c r="G73" s="207">
        <f>ROUND((+E61*F70)+G71,2)</f>
        <v>6754.35</v>
      </c>
      <c r="H73" s="55" t="s">
        <v>437</v>
      </c>
      <c r="I73" s="37">
        <v>0</v>
      </c>
      <c r="J73" s="190" t="s">
        <v>484</v>
      </c>
      <c r="K73" s="219" t="s">
        <v>436</v>
      </c>
    </row>
    <row r="74" spans="1:11" x14ac:dyDescent="0.2">
      <c r="A74" s="35">
        <f t="shared" si="0"/>
        <v>41</v>
      </c>
      <c r="B74" s="36" t="s">
        <v>114</v>
      </c>
      <c r="C74" s="70" t="s">
        <v>341</v>
      </c>
      <c r="D74" s="36" t="s">
        <v>272</v>
      </c>
      <c r="E74" s="66"/>
      <c r="F74" s="203"/>
      <c r="G74" s="207">
        <f>ROUND(+E62*$F$70,2)</f>
        <v>844.31</v>
      </c>
      <c r="H74" s="55" t="s">
        <v>437</v>
      </c>
      <c r="I74" s="37">
        <v>0</v>
      </c>
      <c r="J74" s="190" t="s">
        <v>273</v>
      </c>
      <c r="K74" s="219" t="s">
        <v>433</v>
      </c>
    </row>
    <row r="75" spans="1:11" x14ac:dyDescent="0.2">
      <c r="A75" s="35">
        <f t="shared" si="0"/>
        <v>42</v>
      </c>
      <c r="B75" s="69" t="s">
        <v>114</v>
      </c>
      <c r="C75" s="70" t="s">
        <v>341</v>
      </c>
      <c r="D75" s="69" t="s">
        <v>324</v>
      </c>
      <c r="E75" s="66"/>
      <c r="F75" s="203"/>
      <c r="G75" s="206"/>
      <c r="H75" s="55" t="s">
        <v>437</v>
      </c>
      <c r="I75" s="238">
        <v>6</v>
      </c>
      <c r="J75" s="190" t="s">
        <v>325</v>
      </c>
      <c r="K75" s="191"/>
    </row>
    <row r="76" spans="1:11" x14ac:dyDescent="0.2">
      <c r="A76" s="35">
        <f t="shared" si="0"/>
        <v>43</v>
      </c>
      <c r="B76" s="69" t="s">
        <v>114</v>
      </c>
      <c r="C76" s="70" t="s">
        <v>340</v>
      </c>
      <c r="D76" s="69" t="s">
        <v>335</v>
      </c>
      <c r="E76" s="217">
        <f>ROUND(E61/I75,2)</f>
        <v>314.45</v>
      </c>
      <c r="F76" s="203"/>
      <c r="G76" s="206"/>
      <c r="H76" s="55" t="s">
        <v>437</v>
      </c>
      <c r="I76" s="37">
        <v>0</v>
      </c>
      <c r="J76" s="190" t="s">
        <v>337</v>
      </c>
      <c r="K76" s="219" t="s">
        <v>350</v>
      </c>
    </row>
    <row r="77" spans="1:11" x14ac:dyDescent="0.2">
      <c r="A77" s="35">
        <f t="shared" si="0"/>
        <v>44</v>
      </c>
      <c r="B77" s="69" t="s">
        <v>114</v>
      </c>
      <c r="C77" s="70" t="s">
        <v>341</v>
      </c>
      <c r="D77" s="69" t="s">
        <v>274</v>
      </c>
      <c r="E77" s="66"/>
      <c r="F77" s="218">
        <f>+F57</f>
        <v>0.19839999999999999</v>
      </c>
      <c r="G77" s="206"/>
      <c r="H77" s="55" t="s">
        <v>437</v>
      </c>
      <c r="I77" s="37">
        <v>0</v>
      </c>
      <c r="J77" s="190" t="s">
        <v>275</v>
      </c>
      <c r="K77" s="219" t="s">
        <v>422</v>
      </c>
    </row>
    <row r="78" spans="1:11" x14ac:dyDescent="0.2">
      <c r="A78" s="35">
        <f t="shared" si="0"/>
        <v>45</v>
      </c>
      <c r="B78" s="69" t="s">
        <v>114</v>
      </c>
      <c r="C78" s="70" t="s">
        <v>341</v>
      </c>
      <c r="D78" s="69" t="s">
        <v>34</v>
      </c>
      <c r="E78" s="66"/>
      <c r="F78" s="72"/>
      <c r="G78" s="207">
        <f>ROUND(+E76*F77,2)</f>
        <v>62.39</v>
      </c>
      <c r="H78" s="55" t="s">
        <v>437</v>
      </c>
      <c r="I78" s="37">
        <v>0</v>
      </c>
      <c r="J78" s="190" t="s">
        <v>276</v>
      </c>
      <c r="K78" s="219" t="s">
        <v>532</v>
      </c>
    </row>
    <row r="79" spans="1:11" ht="10.8" thickBot="1" x14ac:dyDescent="0.25"/>
    <row r="80" spans="1:11" ht="15.6" x14ac:dyDescent="0.3">
      <c r="A80" s="174" t="s">
        <v>230</v>
      </c>
      <c r="B80" s="175"/>
      <c r="C80" s="175"/>
      <c r="D80" s="175"/>
      <c r="E80" s="175"/>
      <c r="F80" s="176"/>
    </row>
    <row r="81" spans="1:6" ht="13.2" x14ac:dyDescent="0.25">
      <c r="A81" s="223" t="s">
        <v>231</v>
      </c>
      <c r="B81" s="14"/>
      <c r="C81" s="14"/>
      <c r="D81" s="14"/>
      <c r="E81" s="14"/>
      <c r="F81" s="224"/>
    </row>
    <row r="82" spans="1:6" ht="13.8" thickBot="1" x14ac:dyDescent="0.3">
      <c r="A82" s="177" t="s">
        <v>517</v>
      </c>
      <c r="B82" s="178"/>
      <c r="C82" s="179"/>
      <c r="D82" s="226"/>
      <c r="E82" s="226"/>
      <c r="F82" s="225"/>
    </row>
  </sheetData>
  <sheetProtection selectLockedCells="1" selectUnlockedCells="1"/>
  <conditionalFormatting sqref="A34:A78">
    <cfRule type="cellIs" dxfId="3" priority="3" stopIfTrue="1" operator="equal">
      <formula>"A32"</formula>
    </cfRule>
  </conditionalFormatting>
  <dataValidations xWindow="590" yWindow="334" count="1">
    <dataValidation type="date" operator="greaterThan" showInputMessage="1" showErrorMessage="1" errorTitle="WRONG DATE FORMAT" error="This isn't entered correctly. Please enter this date in MM/DD/YYYY format. Enter only numbers with no other characters." promptTitle="PRODUCTION MONTH" prompt="Please enter date in this format, MM/DD/YYYY, with no other characters. Always use the 1st day of the month." sqref="F7">
      <formula1>18264</formula1>
    </dataValidation>
  </dataValidations>
  <pageMargins left="0" right="0" top="0.5" bottom="0.5" header="0.25" footer="0.5"/>
  <pageSetup scale="65" orientation="portrait" r:id="rId1"/>
  <headerFooter alignWithMargins="0">
    <oddFooter>&amp;R&amp;"Arial,Bold"&amp;6File:&amp;F</oddFooter>
  </headerFooter>
  <ignoredErrors>
    <ignoredError sqref="C34:D34 F5:F6 C54 C66 C72 F8" numberStoredAsText="1"/>
    <ignoredError sqref="D47:G51 D35:D38 D67:G67 D64 F64:G64 D75:G75 D58:G58 D52:E52 G52 D68:E70 G68:G70 B74:B78 D39 A35:B38 B41:B53 D53:F53 F35:G36 B57:B65 D65 B67:B71 D71:G71 B39 B55 D55:G55 B73 D73:G73 D56:F56 D74:F74 B56 F38:G38 G37 D63 D62 G62 D41:E41 G41 F63:G63 D77:G78 D76 F76:G76 F39:G39 D42:E46 G42:G46 D57:E57 G57 D61 D60:F60 F61:G61 F65:G65 D59:E59 G59" unlockedFormula="1"/>
    <ignoredError sqref="C74:C78 C35:C39 C41:C53 C67:C71 C57:C65 C55 C73 C56" numberStoredAsText="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82"/>
  <sheetViews>
    <sheetView topLeftCell="A31" zoomScale="120" zoomScaleNormal="120" workbookViewId="0">
      <selection activeCell="I54" sqref="I54"/>
    </sheetView>
  </sheetViews>
  <sheetFormatPr defaultColWidth="9.109375" defaultRowHeight="10.199999999999999" x14ac:dyDescent="0.2"/>
  <cols>
    <col min="1" max="1" width="4.6640625" style="48" customWidth="1"/>
    <col min="2" max="2" width="9.33203125" style="48" customWidth="1"/>
    <col min="3" max="3" width="10.88671875" style="48" customWidth="1"/>
    <col min="4" max="4" width="11.109375" style="48" bestFit="1" customWidth="1"/>
    <col min="5" max="5" width="9.88671875" style="48" bestFit="1" customWidth="1"/>
    <col min="6" max="6" width="16.109375" style="49" customWidth="1"/>
    <col min="7" max="7" width="12.88671875" style="60" customWidth="1"/>
    <col min="8" max="8" width="11.88671875" style="60" customWidth="1"/>
    <col min="9" max="9" width="13.44140625" style="60" customWidth="1"/>
    <col min="10" max="10" width="40" style="141" customWidth="1"/>
    <col min="11" max="11" width="22.33203125" style="141" bestFit="1" customWidth="1"/>
    <col min="12" max="16384" width="9.109375" style="141"/>
  </cols>
  <sheetData>
    <row r="1" spans="1:16" ht="37.5" customHeight="1" x14ac:dyDescent="0.2">
      <c r="A1" s="2" t="str">
        <f>' VV-Example ABC'!A1</f>
        <v>ALASKA DNR - OIL &amp; GAS  UPDATED 201701</v>
      </c>
      <c r="B1" s="140"/>
      <c r="C1" s="29"/>
      <c r="D1" s="29"/>
      <c r="E1" s="29"/>
      <c r="F1" s="30"/>
      <c r="G1" s="29" t="str">
        <f>+' VV-Example ABC'!G1</f>
        <v>EXAMPLE TEMPLATE, FORMATTED FOR FILING</v>
      </c>
      <c r="H1" s="29"/>
      <c r="I1" s="29"/>
    </row>
    <row r="2" spans="1:16" x14ac:dyDescent="0.2">
      <c r="A2" s="3" t="s">
        <v>38</v>
      </c>
      <c r="B2" s="11"/>
      <c r="C2" s="11" t="s">
        <v>519</v>
      </c>
      <c r="D2" s="11"/>
      <c r="E2" s="11"/>
      <c r="F2" s="185" t="str">
        <f>+' VV-Example ABC'!F2</f>
        <v>VV</v>
      </c>
      <c r="G2" s="10"/>
      <c r="H2" s="11"/>
      <c r="I2" s="11"/>
      <c r="J2" s="31"/>
      <c r="K2" s="31"/>
    </row>
    <row r="3" spans="1:16" ht="13.5" customHeight="1" x14ac:dyDescent="0.2">
      <c r="A3" s="9" t="s">
        <v>33</v>
      </c>
      <c r="B3" s="11"/>
      <c r="C3" s="11" t="s">
        <v>280</v>
      </c>
      <c r="D3" s="11"/>
      <c r="E3" s="11"/>
      <c r="F3" s="185" t="str">
        <f>+' VV-Example ABC'!F3</f>
        <v>AL</v>
      </c>
      <c r="G3" s="10"/>
      <c r="H3" s="51"/>
      <c r="I3" s="51"/>
      <c r="J3" s="31"/>
      <c r="K3" s="31"/>
    </row>
    <row r="4" spans="1:16" x14ac:dyDescent="0.2">
      <c r="A4" s="12" t="s">
        <v>39</v>
      </c>
      <c r="B4" s="15"/>
      <c r="C4" s="11"/>
      <c r="D4" s="15"/>
      <c r="E4" s="15"/>
      <c r="F4" s="185" t="str">
        <f>+' VV-Example ABC'!F4</f>
        <v>REG</v>
      </c>
      <c r="G4" s="15"/>
      <c r="H4" s="15"/>
      <c r="I4" s="15"/>
      <c r="J4" s="31"/>
      <c r="K4" s="31"/>
    </row>
    <row r="5" spans="1:16" s="143" customFormat="1" x14ac:dyDescent="0.2">
      <c r="A5" s="9" t="s">
        <v>14</v>
      </c>
      <c r="B5" s="11"/>
      <c r="C5" s="11"/>
      <c r="D5" s="11"/>
      <c r="E5" s="11"/>
      <c r="F5" s="186">
        <f>+' VV-Example ABC'!F7</f>
        <v>42767</v>
      </c>
      <c r="G5" s="10"/>
      <c r="H5" s="11"/>
      <c r="I5" s="11"/>
      <c r="J5" s="33"/>
      <c r="K5" s="33"/>
      <c r="L5" s="142"/>
      <c r="M5" s="142"/>
      <c r="N5" s="142"/>
      <c r="O5" s="142"/>
      <c r="P5" s="142"/>
    </row>
    <row r="6" spans="1:16" s="144" customFormat="1" x14ac:dyDescent="0.2">
      <c r="A6" s="9" t="s">
        <v>26</v>
      </c>
      <c r="B6" s="11"/>
      <c r="C6" s="11"/>
      <c r="D6" s="11"/>
      <c r="E6" s="11"/>
      <c r="F6" s="185" t="s">
        <v>441</v>
      </c>
      <c r="G6" s="10"/>
      <c r="H6" s="11"/>
      <c r="I6" s="52"/>
      <c r="J6" s="31"/>
      <c r="K6" s="31"/>
      <c r="L6" s="141"/>
      <c r="M6" s="141"/>
      <c r="N6" s="141"/>
      <c r="O6" s="141"/>
      <c r="P6" s="141"/>
    </row>
    <row r="7" spans="1:16" x14ac:dyDescent="0.2">
      <c r="A7" s="9" t="s">
        <v>15</v>
      </c>
      <c r="B7" s="11"/>
      <c r="C7" s="11"/>
      <c r="D7" s="11"/>
      <c r="E7" s="11"/>
      <c r="F7" s="187">
        <f>+' VV-Example ABC'!F7</f>
        <v>42767</v>
      </c>
      <c r="G7" s="10"/>
      <c r="H7" s="11"/>
      <c r="I7" s="11"/>
      <c r="J7" s="31"/>
      <c r="K7" s="31"/>
    </row>
    <row r="8" spans="1:16" x14ac:dyDescent="0.2">
      <c r="A8" s="9" t="s">
        <v>17</v>
      </c>
      <c r="B8" s="11"/>
      <c r="C8" s="11"/>
      <c r="D8" s="11"/>
      <c r="E8" s="11"/>
      <c r="F8" s="186" t="str">
        <f>+' VV-Example ABC'!F8</f>
        <v>01</v>
      </c>
      <c r="G8" s="10"/>
      <c r="H8" s="11"/>
      <c r="I8" s="11"/>
      <c r="J8" s="31"/>
      <c r="K8" s="31"/>
    </row>
    <row r="9" spans="1:16" x14ac:dyDescent="0.2">
      <c r="A9" s="9" t="s">
        <v>5</v>
      </c>
      <c r="B9" s="11"/>
      <c r="C9" s="11"/>
      <c r="D9" s="11"/>
      <c r="E9" s="11"/>
      <c r="F9" s="187">
        <f>+' VV-Example ABC'!F9</f>
        <v>42887</v>
      </c>
      <c r="G9" s="10"/>
      <c r="H9" s="11"/>
      <c r="I9" s="11"/>
      <c r="J9" s="31"/>
      <c r="K9" s="31"/>
    </row>
    <row r="10" spans="1:16" x14ac:dyDescent="0.2">
      <c r="A10" s="9" t="s">
        <v>16</v>
      </c>
      <c r="B10" s="11"/>
      <c r="C10" s="11"/>
      <c r="D10" s="11"/>
      <c r="E10" s="11"/>
      <c r="F10" s="185" t="str">
        <f>+' VV-Example ABC'!F10</f>
        <v>000012345N06201700</v>
      </c>
      <c r="G10" s="10"/>
      <c r="H10" s="11"/>
      <c r="I10" s="11"/>
      <c r="J10" s="31"/>
      <c r="K10" s="31"/>
    </row>
    <row r="11" spans="1:16" x14ac:dyDescent="0.2">
      <c r="A11" s="9" t="s">
        <v>13</v>
      </c>
      <c r="B11" s="11"/>
      <c r="C11" s="11"/>
      <c r="D11" s="11"/>
      <c r="E11" s="11"/>
      <c r="F11" s="188">
        <f>+' VV-Example ABC'!F11</f>
        <v>42916</v>
      </c>
      <c r="G11" s="11"/>
      <c r="H11" s="11"/>
      <c r="I11" s="11"/>
      <c r="J11" s="31"/>
      <c r="K11" s="31"/>
    </row>
    <row r="12" spans="1:16" x14ac:dyDescent="0.2">
      <c r="A12" s="9" t="s">
        <v>7</v>
      </c>
      <c r="B12" s="11"/>
      <c r="C12" s="11"/>
      <c r="D12" s="11"/>
      <c r="E12" s="11"/>
      <c r="F12" s="185">
        <f>+' VV-Example ABC'!F12</f>
        <v>123456</v>
      </c>
      <c r="G12" s="10"/>
      <c r="H12" s="11"/>
      <c r="I12" s="11"/>
      <c r="J12" s="31"/>
      <c r="K12" s="31"/>
    </row>
    <row r="13" spans="1:16" x14ac:dyDescent="0.2">
      <c r="A13" s="9"/>
      <c r="B13" s="11"/>
      <c r="C13" s="11"/>
      <c r="D13" s="11"/>
      <c r="E13" s="11"/>
      <c r="F13" s="52"/>
      <c r="G13" s="10"/>
      <c r="H13" s="11"/>
      <c r="I13" s="11"/>
      <c r="J13" s="31"/>
      <c r="K13" s="31"/>
    </row>
    <row r="14" spans="1:16" x14ac:dyDescent="0.2">
      <c r="A14" s="9"/>
      <c r="B14" s="11"/>
      <c r="C14" s="11"/>
      <c r="D14" s="11"/>
      <c r="E14" s="11"/>
      <c r="F14" s="52"/>
      <c r="G14" s="10"/>
      <c r="H14" s="11"/>
      <c r="I14" s="11"/>
      <c r="J14" s="31"/>
      <c r="K14" s="31"/>
    </row>
    <row r="15" spans="1:16" s="144" customFormat="1" ht="12" customHeight="1" x14ac:dyDescent="0.2">
      <c r="A15" s="34"/>
      <c r="B15" s="11"/>
      <c r="C15" s="11"/>
      <c r="D15" s="11"/>
      <c r="E15" s="11"/>
      <c r="F15" s="52"/>
      <c r="G15" s="10"/>
      <c r="H15" s="11"/>
      <c r="I15" s="11"/>
      <c r="J15" s="31"/>
      <c r="K15" s="31"/>
      <c r="L15" s="141"/>
      <c r="M15" s="141"/>
      <c r="N15" s="141"/>
      <c r="O15" s="141"/>
      <c r="P15" s="141"/>
    </row>
    <row r="16" spans="1:16" x14ac:dyDescent="0.2">
      <c r="A16" s="9"/>
      <c r="B16" s="11"/>
      <c r="C16" s="11"/>
      <c r="D16" s="11"/>
      <c r="E16" s="11"/>
      <c r="F16" s="52"/>
      <c r="G16" s="10"/>
      <c r="H16" s="11"/>
      <c r="I16" s="11"/>
      <c r="J16" s="31"/>
      <c r="K16" s="31"/>
    </row>
    <row r="17" spans="1:11" x14ac:dyDescent="0.2">
      <c r="A17" s="9"/>
      <c r="B17" s="11"/>
      <c r="C17" s="11"/>
      <c r="D17" s="11"/>
      <c r="E17" s="11"/>
      <c r="F17" s="52"/>
      <c r="G17" s="10"/>
      <c r="H17" s="11"/>
      <c r="I17" s="11"/>
      <c r="J17" s="31"/>
      <c r="K17" s="31"/>
    </row>
    <row r="18" spans="1:11" x14ac:dyDescent="0.2">
      <c r="A18" s="9"/>
      <c r="B18" s="11"/>
      <c r="C18" s="11"/>
      <c r="D18" s="11"/>
      <c r="E18" s="11"/>
      <c r="F18" s="52"/>
      <c r="G18" s="53"/>
      <c r="H18" s="53"/>
      <c r="I18" s="53"/>
      <c r="J18" s="31"/>
      <c r="K18" s="31"/>
    </row>
    <row r="19" spans="1:11" x14ac:dyDescent="0.2">
      <c r="A19" s="9" t="s">
        <v>22</v>
      </c>
      <c r="B19" s="11"/>
      <c r="C19" s="11"/>
      <c r="D19" s="11"/>
      <c r="E19" s="11"/>
      <c r="F19" s="185" t="str">
        <f>+' VV-Example ABC'!F19</f>
        <v>XYZ Company</v>
      </c>
      <c r="G19" s="11"/>
      <c r="H19" s="11"/>
      <c r="I19" s="11"/>
      <c r="J19" s="31"/>
      <c r="K19" s="31"/>
    </row>
    <row r="20" spans="1:11" x14ac:dyDescent="0.2">
      <c r="A20" s="9" t="s">
        <v>27</v>
      </c>
      <c r="B20" s="11"/>
      <c r="C20" s="11"/>
      <c r="D20" s="11"/>
      <c r="E20" s="11"/>
      <c r="F20" s="185" t="s">
        <v>530</v>
      </c>
      <c r="G20" s="11"/>
      <c r="H20" s="11"/>
      <c r="I20" s="11"/>
      <c r="J20" s="31"/>
      <c r="K20" s="31"/>
    </row>
    <row r="21" spans="1:11" x14ac:dyDescent="0.2">
      <c r="A21" s="9" t="s">
        <v>0</v>
      </c>
      <c r="B21" s="11"/>
      <c r="C21" s="11"/>
      <c r="D21" s="11"/>
      <c r="E21" s="11"/>
      <c r="F21" s="185" t="str">
        <f>+' VV-Example ABC'!F21</f>
        <v>Enter Data</v>
      </c>
      <c r="G21" s="11"/>
      <c r="H21" s="11"/>
      <c r="I21" s="11"/>
      <c r="J21" s="31"/>
      <c r="K21" s="31"/>
    </row>
    <row r="22" spans="1:11" x14ac:dyDescent="0.2">
      <c r="A22" s="9" t="s">
        <v>1</v>
      </c>
      <c r="B22" s="11"/>
      <c r="C22" s="11"/>
      <c r="D22" s="11"/>
      <c r="E22" s="11"/>
      <c r="F22" s="185" t="str">
        <f>+' VV-Example ABC'!F22</f>
        <v>Enter Data</v>
      </c>
      <c r="G22" s="11"/>
      <c r="H22" s="11"/>
      <c r="I22" s="11"/>
      <c r="J22" s="31"/>
      <c r="K22" s="31"/>
    </row>
    <row r="23" spans="1:11" x14ac:dyDescent="0.2">
      <c r="A23" s="9" t="s">
        <v>2</v>
      </c>
      <c r="B23" s="11"/>
      <c r="C23" s="11"/>
      <c r="D23" s="11"/>
      <c r="E23" s="11"/>
      <c r="F23" s="185" t="str">
        <f>+' VV-Example ABC'!F23</f>
        <v>Enter Data</v>
      </c>
      <c r="G23" s="11"/>
      <c r="H23" s="11"/>
      <c r="I23" s="11"/>
      <c r="J23" s="31"/>
      <c r="K23" s="31"/>
    </row>
    <row r="24" spans="1:11" x14ac:dyDescent="0.2">
      <c r="A24" s="9" t="s">
        <v>3</v>
      </c>
      <c r="B24" s="11"/>
      <c r="C24" s="11"/>
      <c r="D24" s="11"/>
      <c r="E24" s="11"/>
      <c r="F24" s="185" t="str">
        <f>+' VV-Example ABC'!F24</f>
        <v>Enter Data</v>
      </c>
      <c r="G24" s="11"/>
      <c r="H24" s="11"/>
      <c r="I24" s="11"/>
      <c r="J24" s="31"/>
      <c r="K24" s="31"/>
    </row>
    <row r="25" spans="1:11" x14ac:dyDescent="0.2">
      <c r="A25" s="9" t="s">
        <v>4</v>
      </c>
      <c r="B25" s="11"/>
      <c r="C25" s="11"/>
      <c r="D25" s="11"/>
      <c r="E25" s="11"/>
      <c r="F25" s="185" t="str">
        <f>+' VV-Example ABC'!F25</f>
        <v>Enter Data</v>
      </c>
      <c r="G25" s="11"/>
      <c r="H25" s="11"/>
      <c r="I25" s="11"/>
      <c r="J25" s="31"/>
      <c r="K25" s="31"/>
    </row>
    <row r="26" spans="1:11" x14ac:dyDescent="0.2">
      <c r="A26" s="9" t="s">
        <v>6</v>
      </c>
      <c r="B26" s="11"/>
      <c r="C26" s="11"/>
      <c r="D26" s="11"/>
      <c r="E26" s="11"/>
      <c r="F26" s="185" t="str">
        <f>+' VV-Example ABC'!F26</f>
        <v>Enter Data</v>
      </c>
      <c r="G26" s="11"/>
      <c r="H26" s="11"/>
      <c r="I26" s="11"/>
      <c r="J26" s="31"/>
      <c r="K26" s="31"/>
    </row>
    <row r="27" spans="1:11" x14ac:dyDescent="0.2">
      <c r="A27" s="9" t="s">
        <v>8</v>
      </c>
      <c r="B27" s="11"/>
      <c r="C27" s="11"/>
      <c r="D27" s="11"/>
      <c r="E27" s="11"/>
      <c r="F27" s="185" t="str">
        <f>+' VV-Example ABC'!F27</f>
        <v>Enter Data</v>
      </c>
      <c r="G27" s="11"/>
      <c r="H27" s="11"/>
      <c r="I27" s="11"/>
      <c r="J27" s="31"/>
      <c r="K27" s="31"/>
    </row>
    <row r="28" spans="1:11" x14ac:dyDescent="0.2">
      <c r="A28" s="9" t="s">
        <v>9</v>
      </c>
      <c r="B28" s="11"/>
      <c r="C28" s="11"/>
      <c r="D28" s="11"/>
      <c r="E28" s="11"/>
      <c r="F28" s="185" t="str">
        <f>+' VV-Example ABC'!F28</f>
        <v>Enter Data</v>
      </c>
      <c r="G28" s="11"/>
      <c r="H28" s="11"/>
      <c r="I28" s="11"/>
      <c r="J28" s="31"/>
      <c r="K28" s="31"/>
    </row>
    <row r="29" spans="1:11" x14ac:dyDescent="0.2">
      <c r="A29" s="9" t="s">
        <v>12</v>
      </c>
      <c r="B29" s="11"/>
      <c r="C29" s="11"/>
      <c r="D29" s="11"/>
      <c r="E29" s="11"/>
      <c r="F29" s="185" t="str">
        <f>+' VV-Example ABC'!F29</f>
        <v>Enter Data</v>
      </c>
      <c r="G29" s="11"/>
      <c r="H29" s="11"/>
      <c r="I29" s="11"/>
      <c r="J29" s="31"/>
      <c r="K29" s="31"/>
    </row>
    <row r="30" spans="1:11" x14ac:dyDescent="0.2">
      <c r="A30" s="9" t="s">
        <v>18</v>
      </c>
      <c r="B30" s="11"/>
      <c r="C30" s="11"/>
      <c r="D30" s="11"/>
      <c r="E30" s="11"/>
      <c r="F30" s="185" t="str">
        <f>+' VV-Example ABC'!F30</f>
        <v>Enter Data</v>
      </c>
      <c r="G30" s="11"/>
      <c r="H30" s="11"/>
      <c r="I30" s="11"/>
      <c r="J30" s="31"/>
      <c r="K30" s="31"/>
    </row>
    <row r="31" spans="1:11" x14ac:dyDescent="0.2">
      <c r="A31" s="9" t="s">
        <v>10</v>
      </c>
      <c r="B31" s="11"/>
      <c r="C31" s="11"/>
      <c r="D31" s="11"/>
      <c r="E31" s="11"/>
      <c r="F31" s="185" t="str">
        <f>+' VV-Example ABC'!F31</f>
        <v>Enter Data</v>
      </c>
      <c r="G31" s="11"/>
      <c r="H31" s="11"/>
      <c r="I31" s="11"/>
      <c r="J31" s="31"/>
      <c r="K31" s="31"/>
    </row>
    <row r="32" spans="1:11" x14ac:dyDescent="0.2">
      <c r="A32" s="9" t="s">
        <v>11</v>
      </c>
      <c r="B32" s="11"/>
      <c r="C32" s="11"/>
      <c r="D32" s="11"/>
      <c r="E32" s="11"/>
      <c r="F32" s="185" t="str">
        <f>+' VV-Example ABC'!F32</f>
        <v>Enter Data</v>
      </c>
      <c r="G32" s="11"/>
      <c r="H32" s="11"/>
      <c r="I32" s="11"/>
      <c r="J32" s="31"/>
      <c r="K32" s="31"/>
    </row>
    <row r="33" spans="1:11" customFormat="1" ht="20.399999999999999" x14ac:dyDescent="0.25">
      <c r="A33" s="216" t="s">
        <v>19</v>
      </c>
      <c r="B33" s="216" t="s">
        <v>28</v>
      </c>
      <c r="C33" s="216" t="s">
        <v>29</v>
      </c>
      <c r="D33" s="216" t="s">
        <v>20</v>
      </c>
      <c r="E33" s="216" t="s">
        <v>30</v>
      </c>
      <c r="F33" s="216" t="s">
        <v>31</v>
      </c>
      <c r="G33" s="216" t="s">
        <v>21</v>
      </c>
      <c r="H33" s="216" t="s">
        <v>32</v>
      </c>
      <c r="I33" s="216" t="s">
        <v>237</v>
      </c>
      <c r="J33" s="216" t="s">
        <v>66</v>
      </c>
      <c r="K33" s="216" t="s">
        <v>345</v>
      </c>
    </row>
    <row r="34" spans="1:11" x14ac:dyDescent="0.2">
      <c r="A34" s="35">
        <v>1</v>
      </c>
      <c r="B34" s="44" t="s">
        <v>238</v>
      </c>
      <c r="C34" s="54" t="s">
        <v>239</v>
      </c>
      <c r="D34" s="44" t="s">
        <v>240</v>
      </c>
      <c r="E34" s="65">
        <v>100000</v>
      </c>
      <c r="F34" s="71"/>
      <c r="G34" s="65"/>
      <c r="H34" s="55" t="s">
        <v>241</v>
      </c>
      <c r="I34" s="37">
        <v>0</v>
      </c>
      <c r="J34" s="190" t="s">
        <v>242</v>
      </c>
      <c r="K34" s="189"/>
    </row>
    <row r="35" spans="1:11" x14ac:dyDescent="0.2">
      <c r="A35" s="35">
        <f>+A34+1</f>
        <v>2</v>
      </c>
      <c r="B35" s="44" t="s">
        <v>238</v>
      </c>
      <c r="C35" s="54" t="s">
        <v>239</v>
      </c>
      <c r="D35" s="47" t="s">
        <v>379</v>
      </c>
      <c r="E35" s="65">
        <v>10000</v>
      </c>
      <c r="F35" s="71"/>
      <c r="G35" s="65"/>
      <c r="H35" s="55" t="s">
        <v>241</v>
      </c>
      <c r="I35" s="168">
        <v>0</v>
      </c>
      <c r="J35" s="190" t="s">
        <v>380</v>
      </c>
      <c r="K35" s="189"/>
    </row>
    <row r="36" spans="1:11" x14ac:dyDescent="0.2">
      <c r="A36" s="35">
        <f>+A35+1</f>
        <v>3</v>
      </c>
      <c r="B36" s="44" t="s">
        <v>238</v>
      </c>
      <c r="C36" s="54" t="s">
        <v>239</v>
      </c>
      <c r="D36" s="47" t="s">
        <v>381</v>
      </c>
      <c r="E36" s="217">
        <f>E34-E35</f>
        <v>90000</v>
      </c>
      <c r="F36" s="71"/>
      <c r="G36" s="65"/>
      <c r="H36" s="55" t="s">
        <v>241</v>
      </c>
      <c r="I36" s="168">
        <v>0</v>
      </c>
      <c r="J36" s="190" t="s">
        <v>382</v>
      </c>
      <c r="K36" s="219" t="s">
        <v>425</v>
      </c>
    </row>
    <row r="37" spans="1:11" x14ac:dyDescent="0.2">
      <c r="A37" s="35">
        <f t="shared" ref="A37:A78" si="0">+A36+1</f>
        <v>4</v>
      </c>
      <c r="B37" s="44" t="s">
        <v>238</v>
      </c>
      <c r="C37" s="54" t="s">
        <v>243</v>
      </c>
      <c r="D37" s="44" t="s">
        <v>244</v>
      </c>
      <c r="E37" s="66">
        <v>12500</v>
      </c>
      <c r="F37" s="71"/>
      <c r="G37" s="65"/>
      <c r="H37" s="55" t="s">
        <v>241</v>
      </c>
      <c r="I37" s="37">
        <v>0</v>
      </c>
      <c r="J37" s="190" t="s">
        <v>245</v>
      </c>
      <c r="K37" s="191"/>
    </row>
    <row r="38" spans="1:11" x14ac:dyDescent="0.2">
      <c r="A38" s="35">
        <f t="shared" si="0"/>
        <v>5</v>
      </c>
      <c r="B38" s="44" t="s">
        <v>238</v>
      </c>
      <c r="C38" s="54" t="s">
        <v>243</v>
      </c>
      <c r="D38" s="44" t="s">
        <v>246</v>
      </c>
      <c r="E38" s="217">
        <f>E37-E39</f>
        <v>11225</v>
      </c>
      <c r="F38" s="72"/>
      <c r="G38" s="65"/>
      <c r="H38" s="55" t="s">
        <v>241</v>
      </c>
      <c r="I38" s="37">
        <v>0</v>
      </c>
      <c r="J38" s="190" t="s">
        <v>247</v>
      </c>
      <c r="K38" s="219" t="s">
        <v>426</v>
      </c>
    </row>
    <row r="39" spans="1:11" x14ac:dyDescent="0.2">
      <c r="A39" s="35">
        <f t="shared" si="0"/>
        <v>6</v>
      </c>
      <c r="B39" s="44" t="s">
        <v>238</v>
      </c>
      <c r="C39" s="54" t="s">
        <v>243</v>
      </c>
      <c r="D39" s="56" t="s">
        <v>248</v>
      </c>
      <c r="E39" s="66">
        <v>1275</v>
      </c>
      <c r="F39" s="72"/>
      <c r="G39" s="65"/>
      <c r="H39" s="55" t="s">
        <v>241</v>
      </c>
      <c r="I39" s="37">
        <v>0</v>
      </c>
      <c r="J39" s="190" t="s">
        <v>249</v>
      </c>
      <c r="K39" s="191"/>
    </row>
    <row r="40" spans="1:11" x14ac:dyDescent="0.2">
      <c r="A40" s="35">
        <f t="shared" si="0"/>
        <v>7</v>
      </c>
      <c r="B40" s="44" t="s">
        <v>238</v>
      </c>
      <c r="C40" s="54" t="s">
        <v>243</v>
      </c>
      <c r="D40" s="221" t="s">
        <v>480</v>
      </c>
      <c r="E40" s="66">
        <v>13000</v>
      </c>
      <c r="F40" s="72"/>
      <c r="G40" s="65"/>
      <c r="H40" s="55" t="s">
        <v>241</v>
      </c>
      <c r="I40" s="37">
        <v>0</v>
      </c>
      <c r="J40" s="232" t="s">
        <v>481</v>
      </c>
      <c r="K40" s="191" t="s">
        <v>143</v>
      </c>
    </row>
    <row r="41" spans="1:11" x14ac:dyDescent="0.2">
      <c r="A41" s="35">
        <f t="shared" si="0"/>
        <v>8</v>
      </c>
      <c r="B41" s="44" t="s">
        <v>238</v>
      </c>
      <c r="C41" s="57" t="s">
        <v>243</v>
      </c>
      <c r="D41" s="38" t="s">
        <v>250</v>
      </c>
      <c r="E41" s="66"/>
      <c r="F41" s="203">
        <f>+' VV-Example ABC'!F41</f>
        <v>52.64</v>
      </c>
      <c r="G41" s="65"/>
      <c r="H41" s="55" t="s">
        <v>241</v>
      </c>
      <c r="I41" s="37">
        <v>0</v>
      </c>
      <c r="J41" s="190" t="s">
        <v>251</v>
      </c>
      <c r="K41" s="191"/>
    </row>
    <row r="42" spans="1:11" x14ac:dyDescent="0.2">
      <c r="A42" s="35">
        <f t="shared" si="0"/>
        <v>9</v>
      </c>
      <c r="B42" s="44" t="s">
        <v>238</v>
      </c>
      <c r="C42" s="57" t="s">
        <v>243</v>
      </c>
      <c r="D42" s="38" t="s">
        <v>383</v>
      </c>
      <c r="E42" s="66"/>
      <c r="F42" s="203">
        <f>+' VV-Example ABC'!F42</f>
        <v>-0.22234000000000001</v>
      </c>
      <c r="G42" s="65"/>
      <c r="H42" s="55" t="s">
        <v>241</v>
      </c>
      <c r="I42" s="168">
        <v>0</v>
      </c>
      <c r="J42" s="190" t="s">
        <v>384</v>
      </c>
      <c r="K42" s="191"/>
    </row>
    <row r="43" spans="1:11" x14ac:dyDescent="0.2">
      <c r="A43" s="35">
        <f t="shared" si="0"/>
        <v>10</v>
      </c>
      <c r="B43" s="44" t="s">
        <v>238</v>
      </c>
      <c r="C43" s="57" t="s">
        <v>243</v>
      </c>
      <c r="D43" s="38" t="s">
        <v>252</v>
      </c>
      <c r="E43" s="66"/>
      <c r="F43" s="203">
        <f>+' VV-Example ABC'!F43</f>
        <v>-4.8678900000000001</v>
      </c>
      <c r="G43" s="65"/>
      <c r="H43" s="55" t="s">
        <v>241</v>
      </c>
      <c r="I43" s="168">
        <v>0</v>
      </c>
      <c r="J43" s="190" t="s">
        <v>253</v>
      </c>
      <c r="K43" s="191"/>
    </row>
    <row r="44" spans="1:11" x14ac:dyDescent="0.2">
      <c r="A44" s="35">
        <f t="shared" si="0"/>
        <v>11</v>
      </c>
      <c r="B44" s="44" t="s">
        <v>238</v>
      </c>
      <c r="C44" s="57" t="s">
        <v>243</v>
      </c>
      <c r="D44" s="38" t="s">
        <v>254</v>
      </c>
      <c r="E44" s="66"/>
      <c r="F44" s="203">
        <f>+' VV-Example ABC'!F44</f>
        <v>-0.09</v>
      </c>
      <c r="G44" s="65"/>
      <c r="H44" s="55" t="s">
        <v>241</v>
      </c>
      <c r="I44" s="168">
        <v>0</v>
      </c>
      <c r="J44" s="190" t="s">
        <v>255</v>
      </c>
      <c r="K44" s="191"/>
    </row>
    <row r="45" spans="1:11" x14ac:dyDescent="0.2">
      <c r="A45" s="35">
        <f t="shared" si="0"/>
        <v>12</v>
      </c>
      <c r="B45" s="44" t="s">
        <v>238</v>
      </c>
      <c r="C45" s="57" t="s">
        <v>243</v>
      </c>
      <c r="D45" s="38" t="s">
        <v>256</v>
      </c>
      <c r="E45" s="66"/>
      <c r="F45" s="203">
        <f>+' VV-Example ABC'!F45</f>
        <v>-1.19</v>
      </c>
      <c r="G45" s="65"/>
      <c r="H45" s="55" t="s">
        <v>241</v>
      </c>
      <c r="I45" s="168">
        <v>0</v>
      </c>
      <c r="J45" s="190" t="s">
        <v>257</v>
      </c>
      <c r="K45" s="191"/>
    </row>
    <row r="46" spans="1:11" x14ac:dyDescent="0.2">
      <c r="A46" s="35">
        <f t="shared" si="0"/>
        <v>13</v>
      </c>
      <c r="B46" s="44" t="s">
        <v>238</v>
      </c>
      <c r="C46" s="57" t="s">
        <v>243</v>
      </c>
      <c r="D46" s="38" t="s">
        <v>326</v>
      </c>
      <c r="E46" s="66"/>
      <c r="F46" s="203">
        <f>+' VV-Example ABC'!F46</f>
        <v>-1.37</v>
      </c>
      <c r="G46" s="65"/>
      <c r="H46" s="55" t="s">
        <v>241</v>
      </c>
      <c r="I46" s="168">
        <v>0</v>
      </c>
      <c r="J46" s="190" t="s">
        <v>327</v>
      </c>
      <c r="K46" s="191"/>
    </row>
    <row r="47" spans="1:11" x14ac:dyDescent="0.2">
      <c r="A47" s="35">
        <f t="shared" si="0"/>
        <v>14</v>
      </c>
      <c r="B47" s="44" t="s">
        <v>238</v>
      </c>
      <c r="C47" s="57" t="s">
        <v>243</v>
      </c>
      <c r="D47" s="38" t="s">
        <v>258</v>
      </c>
      <c r="E47" s="66"/>
      <c r="F47" s="203">
        <f>+' VV-Example ABC'!F47</f>
        <v>0</v>
      </c>
      <c r="G47" s="65"/>
      <c r="H47" s="55" t="s">
        <v>241</v>
      </c>
      <c r="I47" s="168">
        <v>0</v>
      </c>
      <c r="J47" s="190" t="s">
        <v>259</v>
      </c>
      <c r="K47" s="191"/>
    </row>
    <row r="48" spans="1:11" x14ac:dyDescent="0.2">
      <c r="A48" s="35">
        <f t="shared" si="0"/>
        <v>15</v>
      </c>
      <c r="B48" s="44" t="s">
        <v>238</v>
      </c>
      <c r="C48" s="57" t="s">
        <v>243</v>
      </c>
      <c r="D48" s="38" t="s">
        <v>260</v>
      </c>
      <c r="E48" s="66"/>
      <c r="F48" s="203">
        <f>+' VV-Example ABC'!F48</f>
        <v>0</v>
      </c>
      <c r="G48" s="65"/>
      <c r="H48" s="55" t="s">
        <v>241</v>
      </c>
      <c r="I48" s="168">
        <v>0</v>
      </c>
      <c r="J48" s="190" t="s">
        <v>261</v>
      </c>
      <c r="K48" s="191"/>
    </row>
    <row r="49" spans="1:18" x14ac:dyDescent="0.2">
      <c r="A49" s="35">
        <f t="shared" si="0"/>
        <v>16</v>
      </c>
      <c r="B49" s="44" t="s">
        <v>238</v>
      </c>
      <c r="C49" s="57" t="s">
        <v>243</v>
      </c>
      <c r="D49" s="38" t="s">
        <v>262</v>
      </c>
      <c r="E49" s="66"/>
      <c r="F49" s="203">
        <f>+' VV-Example ABC'!F49</f>
        <v>0</v>
      </c>
      <c r="G49" s="65"/>
      <c r="H49" s="55" t="s">
        <v>241</v>
      </c>
      <c r="I49" s="168">
        <v>0</v>
      </c>
      <c r="J49" s="190" t="s">
        <v>263</v>
      </c>
      <c r="K49" s="191"/>
    </row>
    <row r="50" spans="1:18" x14ac:dyDescent="0.2">
      <c r="A50" s="35">
        <f t="shared" si="0"/>
        <v>17</v>
      </c>
      <c r="B50" s="44" t="s">
        <v>238</v>
      </c>
      <c r="C50" s="54" t="s">
        <v>243</v>
      </c>
      <c r="D50" s="44" t="s">
        <v>264</v>
      </c>
      <c r="E50" s="66"/>
      <c r="F50" s="218">
        <f>SUM(F41:F49)</f>
        <v>44.899769999999997</v>
      </c>
      <c r="G50" s="65"/>
      <c r="H50" s="55" t="s">
        <v>241</v>
      </c>
      <c r="I50" s="37">
        <v>0</v>
      </c>
      <c r="J50" s="190" t="s">
        <v>265</v>
      </c>
      <c r="K50" s="219" t="s">
        <v>423</v>
      </c>
    </row>
    <row r="51" spans="1:18" x14ac:dyDescent="0.2">
      <c r="A51" s="35">
        <f t="shared" si="0"/>
        <v>18</v>
      </c>
      <c r="B51" s="44" t="s">
        <v>238</v>
      </c>
      <c r="C51" s="58" t="s">
        <v>243</v>
      </c>
      <c r="D51" s="47" t="s">
        <v>266</v>
      </c>
      <c r="E51" s="66"/>
      <c r="F51" s="203">
        <v>0</v>
      </c>
      <c r="G51" s="65"/>
      <c r="H51" s="55" t="s">
        <v>241</v>
      </c>
      <c r="I51" s="37">
        <v>0</v>
      </c>
      <c r="J51" s="190" t="s">
        <v>267</v>
      </c>
      <c r="K51" s="191"/>
    </row>
    <row r="52" spans="1:18" x14ac:dyDescent="0.2">
      <c r="A52" s="35">
        <f t="shared" si="0"/>
        <v>19</v>
      </c>
      <c r="B52" s="44" t="s">
        <v>238</v>
      </c>
      <c r="C52" s="58" t="s">
        <v>243</v>
      </c>
      <c r="D52" s="47" t="s">
        <v>268</v>
      </c>
      <c r="E52" s="66"/>
      <c r="F52" s="218">
        <f>+F50+F51</f>
        <v>44.899769999999997</v>
      </c>
      <c r="G52" s="65"/>
      <c r="H52" s="55" t="s">
        <v>241</v>
      </c>
      <c r="I52" s="37">
        <v>0</v>
      </c>
      <c r="J52" s="190" t="s">
        <v>269</v>
      </c>
      <c r="K52" s="219" t="s">
        <v>424</v>
      </c>
    </row>
    <row r="53" spans="1:18" ht="21" x14ac:dyDescent="0.25">
      <c r="A53" s="35">
        <f t="shared" si="0"/>
        <v>20</v>
      </c>
      <c r="B53" s="44" t="s">
        <v>238</v>
      </c>
      <c r="C53" s="54" t="s">
        <v>243</v>
      </c>
      <c r="D53" s="44" t="s">
        <v>270</v>
      </c>
      <c r="E53" s="65"/>
      <c r="F53" s="204"/>
      <c r="G53" s="205">
        <v>3400</v>
      </c>
      <c r="H53" s="55" t="s">
        <v>241</v>
      </c>
      <c r="I53" s="239">
        <v>99</v>
      </c>
      <c r="J53" s="220" t="s">
        <v>510</v>
      </c>
      <c r="K53" s="242" t="s">
        <v>491</v>
      </c>
      <c r="L53"/>
      <c r="M53"/>
      <c r="N53"/>
      <c r="O53"/>
      <c r="P53"/>
      <c r="Q53"/>
      <c r="R53"/>
    </row>
    <row r="54" spans="1:18" ht="21" x14ac:dyDescent="0.25">
      <c r="A54" s="35">
        <f t="shared" si="0"/>
        <v>21</v>
      </c>
      <c r="B54" s="44" t="s">
        <v>238</v>
      </c>
      <c r="C54" s="54" t="s">
        <v>243</v>
      </c>
      <c r="D54" s="222" t="s">
        <v>464</v>
      </c>
      <c r="E54" s="65"/>
      <c r="F54" s="204"/>
      <c r="G54" s="207">
        <f>ROUND(E40*$F$52,2)</f>
        <v>583697.01</v>
      </c>
      <c r="H54" s="55" t="s">
        <v>241</v>
      </c>
      <c r="I54" s="37">
        <v>0</v>
      </c>
      <c r="J54" s="220" t="s">
        <v>492</v>
      </c>
      <c r="K54" s="219" t="s">
        <v>490</v>
      </c>
      <c r="L54"/>
      <c r="M54"/>
      <c r="N54"/>
      <c r="O54"/>
      <c r="P54"/>
      <c r="Q54"/>
      <c r="R54"/>
    </row>
    <row r="55" spans="1:18" ht="21" x14ac:dyDescent="0.25">
      <c r="A55" s="35">
        <f t="shared" si="0"/>
        <v>22</v>
      </c>
      <c r="B55" s="44" t="s">
        <v>238</v>
      </c>
      <c r="C55" s="54" t="s">
        <v>243</v>
      </c>
      <c r="D55" s="44" t="s">
        <v>271</v>
      </c>
      <c r="E55" s="65"/>
      <c r="F55" s="204" t="s">
        <v>69</v>
      </c>
      <c r="G55" s="207">
        <f>ROUND((+E36*F52)+G53,2)</f>
        <v>4044379.3</v>
      </c>
      <c r="H55" s="55" t="s">
        <v>241</v>
      </c>
      <c r="I55" s="168">
        <v>0</v>
      </c>
      <c r="J55" s="220" t="s">
        <v>483</v>
      </c>
      <c r="K55" s="219" t="s">
        <v>432</v>
      </c>
      <c r="L55"/>
      <c r="M55"/>
      <c r="N55"/>
      <c r="O55"/>
      <c r="P55"/>
      <c r="Q55"/>
      <c r="R55"/>
    </row>
    <row r="56" spans="1:18" ht="13.2" x14ac:dyDescent="0.25">
      <c r="A56" s="35">
        <f>+A55+1</f>
        <v>23</v>
      </c>
      <c r="B56" s="44" t="s">
        <v>238</v>
      </c>
      <c r="C56" s="54" t="s">
        <v>243</v>
      </c>
      <c r="D56" s="44" t="s">
        <v>272</v>
      </c>
      <c r="E56" s="65"/>
      <c r="F56" s="204"/>
      <c r="G56" s="207">
        <f>ROUND(+E37*$F$52,2)</f>
        <v>561247.13</v>
      </c>
      <c r="H56" s="55" t="s">
        <v>241</v>
      </c>
      <c r="I56" s="168">
        <v>0</v>
      </c>
      <c r="J56" s="190" t="s">
        <v>273</v>
      </c>
      <c r="K56" s="219" t="s">
        <v>433</v>
      </c>
      <c r="L56"/>
      <c r="M56"/>
      <c r="N56"/>
      <c r="O56"/>
      <c r="P56"/>
      <c r="Q56"/>
      <c r="R56"/>
    </row>
    <row r="57" spans="1:18" ht="13.2" x14ac:dyDescent="0.25">
      <c r="A57" s="35">
        <f>+A56+1</f>
        <v>24</v>
      </c>
      <c r="B57" s="44" t="s">
        <v>238</v>
      </c>
      <c r="C57" s="54" t="s">
        <v>243</v>
      </c>
      <c r="D57" s="44" t="s">
        <v>274</v>
      </c>
      <c r="E57" s="65"/>
      <c r="F57" s="204">
        <f>+' VV-Example ABC'!F57</f>
        <v>0.19839999999999999</v>
      </c>
      <c r="G57" s="205"/>
      <c r="H57" s="55" t="s">
        <v>241</v>
      </c>
      <c r="I57" s="168">
        <v>0</v>
      </c>
      <c r="J57" s="189" t="s">
        <v>275</v>
      </c>
      <c r="K57" s="191" t="s">
        <v>422</v>
      </c>
      <c r="L57"/>
      <c r="M57"/>
      <c r="N57"/>
      <c r="O57"/>
      <c r="P57"/>
      <c r="Q57"/>
      <c r="R57"/>
    </row>
    <row r="58" spans="1:18" ht="21" x14ac:dyDescent="0.25">
      <c r="A58" s="35">
        <f t="shared" si="0"/>
        <v>25</v>
      </c>
      <c r="B58" s="44" t="s">
        <v>238</v>
      </c>
      <c r="C58" s="54" t="s">
        <v>243</v>
      </c>
      <c r="D58" s="44" t="s">
        <v>34</v>
      </c>
      <c r="E58" s="65"/>
      <c r="F58" s="204" t="s">
        <v>69</v>
      </c>
      <c r="G58" s="207">
        <f>ROUND(+$E$36*F57,2)</f>
        <v>17856</v>
      </c>
      <c r="H58" s="55" t="s">
        <v>241</v>
      </c>
      <c r="I58" s="168">
        <v>0</v>
      </c>
      <c r="J58" s="220" t="s">
        <v>429</v>
      </c>
      <c r="K58" s="219" t="s">
        <v>434</v>
      </c>
      <c r="L58"/>
      <c r="M58"/>
      <c r="N58"/>
      <c r="O58"/>
      <c r="P58"/>
      <c r="Q58"/>
      <c r="R58"/>
    </row>
    <row r="59" spans="1:18" x14ac:dyDescent="0.2">
      <c r="A59" s="35">
        <f t="shared" si="0"/>
        <v>26</v>
      </c>
      <c r="B59" s="44" t="s">
        <v>238</v>
      </c>
      <c r="C59" s="54" t="s">
        <v>243</v>
      </c>
      <c r="D59" s="44" t="s">
        <v>277</v>
      </c>
      <c r="E59" s="65"/>
      <c r="F59" s="204">
        <f>+' VV-Example ABC'!F59</f>
        <v>0.96</v>
      </c>
      <c r="G59" s="206"/>
      <c r="H59" s="55" t="s">
        <v>241</v>
      </c>
      <c r="I59" s="37">
        <v>0</v>
      </c>
      <c r="J59" s="189" t="s">
        <v>278</v>
      </c>
      <c r="K59" s="191"/>
    </row>
    <row r="60" spans="1:18" x14ac:dyDescent="0.2">
      <c r="A60" s="35">
        <f t="shared" si="0"/>
        <v>27</v>
      </c>
      <c r="B60" s="44" t="s">
        <v>238</v>
      </c>
      <c r="C60" s="54" t="s">
        <v>243</v>
      </c>
      <c r="D60" s="44" t="s">
        <v>95</v>
      </c>
      <c r="E60" s="65"/>
      <c r="F60" s="204"/>
      <c r="G60" s="207">
        <f>ROUND(+$E$34*F59,2)</f>
        <v>96000</v>
      </c>
      <c r="H60" s="55" t="s">
        <v>241</v>
      </c>
      <c r="I60" s="37">
        <v>0</v>
      </c>
      <c r="J60" s="189" t="s">
        <v>279</v>
      </c>
      <c r="K60" s="219" t="s">
        <v>435</v>
      </c>
    </row>
    <row r="61" spans="1:18" ht="11.25" customHeight="1" x14ac:dyDescent="0.2">
      <c r="A61" s="35">
        <f t="shared" si="0"/>
        <v>28</v>
      </c>
      <c r="B61" s="36" t="s">
        <v>440</v>
      </c>
      <c r="C61" s="70" t="s">
        <v>340</v>
      </c>
      <c r="D61" s="36" t="s">
        <v>240</v>
      </c>
      <c r="E61" s="65">
        <v>600</v>
      </c>
      <c r="F61" s="204"/>
      <c r="G61" s="205"/>
      <c r="H61" s="55" t="s">
        <v>437</v>
      </c>
      <c r="I61" s="37">
        <v>0</v>
      </c>
      <c r="J61" s="190" t="s">
        <v>328</v>
      </c>
      <c r="K61" s="191"/>
    </row>
    <row r="62" spans="1:18" x14ac:dyDescent="0.2">
      <c r="A62" s="35">
        <f t="shared" si="0"/>
        <v>29</v>
      </c>
      <c r="B62" s="36" t="s">
        <v>440</v>
      </c>
      <c r="C62" s="70" t="s">
        <v>341</v>
      </c>
      <c r="D62" s="36" t="s">
        <v>244</v>
      </c>
      <c r="E62" s="66">
        <v>75</v>
      </c>
      <c r="F62" s="204"/>
      <c r="G62" s="205"/>
      <c r="H62" s="55" t="s">
        <v>437</v>
      </c>
      <c r="I62" s="37">
        <v>0</v>
      </c>
      <c r="J62" s="190" t="s">
        <v>245</v>
      </c>
      <c r="K62" s="191"/>
    </row>
    <row r="63" spans="1:18" x14ac:dyDescent="0.2">
      <c r="A63" s="35">
        <f t="shared" si="0"/>
        <v>30</v>
      </c>
      <c r="B63" s="36" t="s">
        <v>440</v>
      </c>
      <c r="C63" s="70" t="s">
        <v>341</v>
      </c>
      <c r="D63" s="69" t="s">
        <v>336</v>
      </c>
      <c r="E63" s="217">
        <f>ROUND(E62/I75,2)</f>
        <v>12.5</v>
      </c>
      <c r="F63" s="203"/>
      <c r="G63" s="206"/>
      <c r="H63" s="55" t="s">
        <v>437</v>
      </c>
      <c r="I63" s="37">
        <v>0</v>
      </c>
      <c r="J63" s="190" t="s">
        <v>339</v>
      </c>
      <c r="K63" s="219" t="s">
        <v>349</v>
      </c>
    </row>
    <row r="64" spans="1:18" x14ac:dyDescent="0.2">
      <c r="A64" s="35">
        <f t="shared" si="0"/>
        <v>31</v>
      </c>
      <c r="B64" s="36" t="s">
        <v>440</v>
      </c>
      <c r="C64" s="70" t="s">
        <v>341</v>
      </c>
      <c r="D64" s="36" t="s">
        <v>246</v>
      </c>
      <c r="E64" s="217">
        <f>E62-E65</f>
        <v>75</v>
      </c>
      <c r="F64" s="203"/>
      <c r="G64" s="206"/>
      <c r="H64" s="55" t="s">
        <v>437</v>
      </c>
      <c r="I64" s="37">
        <v>0</v>
      </c>
      <c r="J64" s="190" t="s">
        <v>247</v>
      </c>
      <c r="K64" s="219" t="s">
        <v>427</v>
      </c>
    </row>
    <row r="65" spans="1:11" x14ac:dyDescent="0.2">
      <c r="A65" s="35">
        <f t="shared" si="0"/>
        <v>32</v>
      </c>
      <c r="B65" s="36" t="s">
        <v>440</v>
      </c>
      <c r="C65" s="70" t="s">
        <v>341</v>
      </c>
      <c r="D65" s="59" t="s">
        <v>248</v>
      </c>
      <c r="E65" s="66">
        <v>0</v>
      </c>
      <c r="F65" s="203"/>
      <c r="G65" s="206"/>
      <c r="H65" s="55" t="s">
        <v>437</v>
      </c>
      <c r="I65" s="37">
        <v>0</v>
      </c>
      <c r="J65" s="190" t="s">
        <v>249</v>
      </c>
      <c r="K65" s="191"/>
    </row>
    <row r="66" spans="1:11" x14ac:dyDescent="0.2">
      <c r="A66" s="35">
        <f t="shared" si="0"/>
        <v>33</v>
      </c>
      <c r="B66" s="36" t="s">
        <v>440</v>
      </c>
      <c r="C66" s="70" t="s">
        <v>341</v>
      </c>
      <c r="D66" s="221" t="s">
        <v>480</v>
      </c>
      <c r="E66" s="66">
        <v>70</v>
      </c>
      <c r="F66" s="203"/>
      <c r="G66" s="206"/>
      <c r="H66" s="55" t="s">
        <v>437</v>
      </c>
      <c r="I66" s="37">
        <v>0</v>
      </c>
      <c r="J66" s="232" t="s">
        <v>481</v>
      </c>
      <c r="K66" s="191" t="s">
        <v>143</v>
      </c>
    </row>
    <row r="67" spans="1:11" x14ac:dyDescent="0.2">
      <c r="A67" s="35">
        <f t="shared" si="0"/>
        <v>34</v>
      </c>
      <c r="B67" s="36" t="s">
        <v>440</v>
      </c>
      <c r="C67" s="70" t="s">
        <v>341</v>
      </c>
      <c r="D67" s="38" t="s">
        <v>250</v>
      </c>
      <c r="E67" s="66"/>
      <c r="F67" s="203">
        <v>3.58</v>
      </c>
      <c r="G67" s="206"/>
      <c r="H67" s="55" t="s">
        <v>437</v>
      </c>
      <c r="I67" s="37">
        <v>0</v>
      </c>
      <c r="J67" s="190" t="s">
        <v>251</v>
      </c>
      <c r="K67" s="191"/>
    </row>
    <row r="68" spans="1:11" x14ac:dyDescent="0.2">
      <c r="A68" s="35">
        <f t="shared" si="0"/>
        <v>35</v>
      </c>
      <c r="B68" s="36" t="s">
        <v>440</v>
      </c>
      <c r="C68" s="70" t="s">
        <v>341</v>
      </c>
      <c r="D68" s="36" t="s">
        <v>264</v>
      </c>
      <c r="E68" s="66"/>
      <c r="F68" s="218">
        <f>+F67</f>
        <v>3.58</v>
      </c>
      <c r="G68" s="206"/>
      <c r="H68" s="55" t="s">
        <v>437</v>
      </c>
      <c r="I68" s="37">
        <v>0</v>
      </c>
      <c r="J68" s="190" t="s">
        <v>265</v>
      </c>
      <c r="K68" s="219" t="s">
        <v>428</v>
      </c>
    </row>
    <row r="69" spans="1:11" x14ac:dyDescent="0.2">
      <c r="A69" s="35">
        <f t="shared" si="0"/>
        <v>36</v>
      </c>
      <c r="B69" s="36" t="s">
        <v>440</v>
      </c>
      <c r="C69" s="70" t="s">
        <v>341</v>
      </c>
      <c r="D69" s="47" t="s">
        <v>266</v>
      </c>
      <c r="E69" s="66"/>
      <c r="F69" s="203">
        <v>0</v>
      </c>
      <c r="G69" s="206"/>
      <c r="H69" s="55" t="s">
        <v>437</v>
      </c>
      <c r="I69" s="37">
        <v>0</v>
      </c>
      <c r="J69" s="190" t="s">
        <v>267</v>
      </c>
      <c r="K69" s="191"/>
    </row>
    <row r="70" spans="1:11" x14ac:dyDescent="0.2">
      <c r="A70" s="35">
        <f t="shared" si="0"/>
        <v>37</v>
      </c>
      <c r="B70" s="36" t="s">
        <v>440</v>
      </c>
      <c r="C70" s="70" t="s">
        <v>341</v>
      </c>
      <c r="D70" s="47" t="s">
        <v>268</v>
      </c>
      <c r="E70" s="66"/>
      <c r="F70" s="218">
        <f>+F68+F69</f>
        <v>3.58</v>
      </c>
      <c r="G70" s="206"/>
      <c r="H70" s="55" t="s">
        <v>437</v>
      </c>
      <c r="I70" s="42">
        <v>0</v>
      </c>
      <c r="J70" s="190" t="s">
        <v>269</v>
      </c>
      <c r="K70" s="219" t="s">
        <v>424</v>
      </c>
    </row>
    <row r="71" spans="1:11" ht="20.399999999999999" x14ac:dyDescent="0.2">
      <c r="A71" s="35">
        <f t="shared" si="0"/>
        <v>38</v>
      </c>
      <c r="B71" s="36" t="s">
        <v>440</v>
      </c>
      <c r="C71" s="70" t="s">
        <v>341</v>
      </c>
      <c r="D71" s="44" t="s">
        <v>270</v>
      </c>
      <c r="E71" s="66"/>
      <c r="F71" s="203"/>
      <c r="G71" s="206">
        <v>0</v>
      </c>
      <c r="H71" s="55" t="s">
        <v>437</v>
      </c>
      <c r="I71" s="239">
        <v>0</v>
      </c>
      <c r="J71" s="220" t="s">
        <v>510</v>
      </c>
      <c r="K71" s="242" t="s">
        <v>491</v>
      </c>
    </row>
    <row r="72" spans="1:11" ht="20.399999999999999" x14ac:dyDescent="0.2">
      <c r="A72" s="35">
        <f t="shared" si="0"/>
        <v>39</v>
      </c>
      <c r="B72" s="36" t="s">
        <v>440</v>
      </c>
      <c r="C72" s="70" t="s">
        <v>341</v>
      </c>
      <c r="D72" s="222" t="s">
        <v>464</v>
      </c>
      <c r="E72" s="65"/>
      <c r="F72" s="204"/>
      <c r="G72" s="207">
        <f>ROUND(E66*$F$70,2)</f>
        <v>250.6</v>
      </c>
      <c r="H72" s="55" t="s">
        <v>437</v>
      </c>
      <c r="I72" s="37">
        <v>0</v>
      </c>
      <c r="J72" s="220" t="s">
        <v>492</v>
      </c>
      <c r="K72" s="219" t="s">
        <v>490</v>
      </c>
    </row>
    <row r="73" spans="1:11" x14ac:dyDescent="0.2">
      <c r="A73" s="35">
        <f t="shared" si="0"/>
        <v>40</v>
      </c>
      <c r="B73" s="36" t="s">
        <v>440</v>
      </c>
      <c r="C73" s="70" t="s">
        <v>341</v>
      </c>
      <c r="D73" s="36" t="s">
        <v>271</v>
      </c>
      <c r="E73" s="66"/>
      <c r="F73" s="203"/>
      <c r="G73" s="207">
        <f>ROUND((+E61*F70)+G71,2)</f>
        <v>2148</v>
      </c>
      <c r="H73" s="55" t="s">
        <v>437</v>
      </c>
      <c r="I73" s="37">
        <v>0</v>
      </c>
      <c r="J73" s="190" t="s">
        <v>484</v>
      </c>
      <c r="K73" s="219" t="s">
        <v>436</v>
      </c>
    </row>
    <row r="74" spans="1:11" x14ac:dyDescent="0.2">
      <c r="A74" s="35">
        <f t="shared" si="0"/>
        <v>41</v>
      </c>
      <c r="B74" s="36" t="s">
        <v>440</v>
      </c>
      <c r="C74" s="70" t="s">
        <v>341</v>
      </c>
      <c r="D74" s="36" t="s">
        <v>272</v>
      </c>
      <c r="E74" s="66"/>
      <c r="F74" s="203"/>
      <c r="G74" s="207">
        <f>ROUND(+E62*$F$70,2)</f>
        <v>268.5</v>
      </c>
      <c r="H74" s="55" t="s">
        <v>437</v>
      </c>
      <c r="I74" s="37">
        <v>0</v>
      </c>
      <c r="J74" s="190" t="s">
        <v>273</v>
      </c>
      <c r="K74" s="219" t="s">
        <v>433</v>
      </c>
    </row>
    <row r="75" spans="1:11" x14ac:dyDescent="0.2">
      <c r="A75" s="35">
        <f t="shared" si="0"/>
        <v>42</v>
      </c>
      <c r="B75" s="36" t="s">
        <v>440</v>
      </c>
      <c r="C75" s="70" t="s">
        <v>341</v>
      </c>
      <c r="D75" s="69" t="s">
        <v>324</v>
      </c>
      <c r="E75" s="66"/>
      <c r="F75" s="203"/>
      <c r="G75" s="206"/>
      <c r="H75" s="55" t="s">
        <v>437</v>
      </c>
      <c r="I75" s="238">
        <v>6</v>
      </c>
      <c r="J75" s="190" t="s">
        <v>325</v>
      </c>
      <c r="K75" s="191"/>
    </row>
    <row r="76" spans="1:11" x14ac:dyDescent="0.2">
      <c r="A76" s="35">
        <f t="shared" si="0"/>
        <v>43</v>
      </c>
      <c r="B76" s="36" t="s">
        <v>440</v>
      </c>
      <c r="C76" s="70" t="s">
        <v>340</v>
      </c>
      <c r="D76" s="69" t="s">
        <v>335</v>
      </c>
      <c r="E76" s="217">
        <f>ROUND(E61/I75,2)</f>
        <v>100</v>
      </c>
      <c r="F76" s="203"/>
      <c r="G76" s="206"/>
      <c r="H76" s="55" t="s">
        <v>437</v>
      </c>
      <c r="I76" s="37">
        <v>0</v>
      </c>
      <c r="J76" s="190" t="s">
        <v>337</v>
      </c>
      <c r="K76" s="219" t="s">
        <v>350</v>
      </c>
    </row>
    <row r="77" spans="1:11" x14ac:dyDescent="0.2">
      <c r="A77" s="35">
        <f t="shared" si="0"/>
        <v>44</v>
      </c>
      <c r="B77" s="36" t="s">
        <v>440</v>
      </c>
      <c r="C77" s="70" t="s">
        <v>341</v>
      </c>
      <c r="D77" s="69" t="s">
        <v>274</v>
      </c>
      <c r="E77" s="66"/>
      <c r="F77" s="218">
        <f>+F57</f>
        <v>0.19839999999999999</v>
      </c>
      <c r="G77" s="206"/>
      <c r="H77" s="55" t="s">
        <v>437</v>
      </c>
      <c r="I77" s="37">
        <v>0</v>
      </c>
      <c r="J77" s="190" t="s">
        <v>275</v>
      </c>
      <c r="K77" s="219" t="s">
        <v>422</v>
      </c>
    </row>
    <row r="78" spans="1:11" x14ac:dyDescent="0.2">
      <c r="A78" s="35">
        <f t="shared" si="0"/>
        <v>45</v>
      </c>
      <c r="B78" s="36" t="s">
        <v>440</v>
      </c>
      <c r="C78" s="70" t="s">
        <v>341</v>
      </c>
      <c r="D78" s="69" t="s">
        <v>34</v>
      </c>
      <c r="E78" s="66"/>
      <c r="F78" s="72"/>
      <c r="G78" s="207">
        <f>ROUND(+E76*F77,2)</f>
        <v>19.84</v>
      </c>
      <c r="H78" s="55" t="s">
        <v>437</v>
      </c>
      <c r="I78" s="37">
        <v>0</v>
      </c>
      <c r="J78" s="190" t="s">
        <v>276</v>
      </c>
      <c r="K78" s="219" t="s">
        <v>532</v>
      </c>
    </row>
    <row r="79" spans="1:11" ht="10.8" thickBot="1" x14ac:dyDescent="0.25"/>
    <row r="80" spans="1:11" ht="15.6" x14ac:dyDescent="0.3">
      <c r="A80" s="174" t="s">
        <v>230</v>
      </c>
      <c r="B80" s="175"/>
      <c r="C80" s="175"/>
      <c r="D80" s="175"/>
      <c r="E80" s="175"/>
      <c r="F80" s="176"/>
    </row>
    <row r="81" spans="1:6" ht="13.2" x14ac:dyDescent="0.25">
      <c r="A81" s="223" t="s">
        <v>231</v>
      </c>
      <c r="B81" s="14"/>
      <c r="C81" s="14"/>
      <c r="D81" s="14"/>
      <c r="E81" s="14"/>
      <c r="F81" s="224"/>
    </row>
    <row r="82" spans="1:6" ht="13.8" thickBot="1" x14ac:dyDescent="0.3">
      <c r="A82" s="177" t="s">
        <v>517</v>
      </c>
      <c r="B82" s="178"/>
      <c r="C82" s="179"/>
      <c r="D82" s="226"/>
      <c r="E82" s="226"/>
      <c r="F82" s="225"/>
    </row>
  </sheetData>
  <sheetProtection selectLockedCells="1"/>
  <conditionalFormatting sqref="A34:A78">
    <cfRule type="cellIs" dxfId="2" priority="1" stopIfTrue="1" operator="equal">
      <formula>"A32"</formula>
    </cfRule>
  </conditionalFormatting>
  <pageMargins left="0" right="0" top="0.5" bottom="0.5" header="0.25" footer="0.5"/>
  <pageSetup scale="65" orientation="portrait" r:id="rId1"/>
  <headerFooter alignWithMargins="0">
    <oddFooter>&amp;R&amp;"Arial,Bold"&amp;6File:&amp;F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249977111117893"/>
    <pageSetUpPr fitToPage="1"/>
  </sheetPr>
  <dimension ref="A1:L102"/>
  <sheetViews>
    <sheetView topLeftCell="A28" zoomScale="120" zoomScaleNormal="120" workbookViewId="0">
      <selection activeCell="F94" sqref="F94"/>
    </sheetView>
  </sheetViews>
  <sheetFormatPr defaultColWidth="9.109375" defaultRowHeight="10.199999999999999" x14ac:dyDescent="0.2"/>
  <cols>
    <col min="1" max="1" width="4.6640625" style="48" customWidth="1"/>
    <col min="2" max="2" width="11.88671875" style="48" customWidth="1"/>
    <col min="3" max="3" width="9.6640625" style="48" customWidth="1"/>
    <col min="4" max="4" width="11.88671875" style="48" customWidth="1"/>
    <col min="5" max="5" width="9.109375" style="48"/>
    <col min="6" max="6" width="18.33203125" style="49" customWidth="1"/>
    <col min="7" max="7" width="40.5546875" style="141" customWidth="1"/>
    <col min="8" max="8" width="40.109375" style="141" customWidth="1"/>
    <col min="9" max="9" width="12" style="141" bestFit="1" customWidth="1"/>
    <col min="10" max="16384" width="9.109375" style="141"/>
  </cols>
  <sheetData>
    <row r="1" spans="1:12" ht="30.75" customHeight="1" x14ac:dyDescent="0.2">
      <c r="A1" s="2" t="str">
        <f>' VV-Example ABC'!A1</f>
        <v>ALASKA DNR - OIL &amp; GAS  UPDATED 201701</v>
      </c>
      <c r="B1" s="140"/>
      <c r="C1" s="29"/>
      <c r="D1" s="29"/>
      <c r="E1" s="29"/>
      <c r="G1" s="166" t="str">
        <f>+' VV-Example ABC'!G1</f>
        <v>EXAMPLE TEMPLATE, FORMATTED FOR FILING</v>
      </c>
    </row>
    <row r="2" spans="1:12" x14ac:dyDescent="0.2">
      <c r="A2" s="3" t="s">
        <v>38</v>
      </c>
      <c r="B2" s="11"/>
      <c r="C2" s="11" t="s">
        <v>520</v>
      </c>
      <c r="D2" s="11"/>
      <c r="E2" s="11"/>
      <c r="F2" s="32" t="s">
        <v>34</v>
      </c>
      <c r="G2" s="31"/>
      <c r="H2" s="31"/>
    </row>
    <row r="3" spans="1:12" x14ac:dyDescent="0.2">
      <c r="A3" s="9" t="s">
        <v>33</v>
      </c>
      <c r="B3" s="11"/>
      <c r="C3" s="11" t="s">
        <v>280</v>
      </c>
      <c r="D3" s="11"/>
      <c r="E3" s="11"/>
      <c r="F3" s="32" t="str">
        <f>+' VV-Example ABC'!F3</f>
        <v>AL</v>
      </c>
      <c r="G3" s="31"/>
      <c r="H3" s="31"/>
    </row>
    <row r="4" spans="1:12" x14ac:dyDescent="0.2">
      <c r="A4" s="12" t="s">
        <v>39</v>
      </c>
      <c r="B4" s="15"/>
      <c r="C4" s="11"/>
      <c r="D4" s="15"/>
      <c r="E4" s="15"/>
      <c r="F4" s="182" t="str">
        <f>+' VV-Example ABC'!F4</f>
        <v>REG</v>
      </c>
      <c r="G4" s="32"/>
      <c r="H4" s="31"/>
    </row>
    <row r="5" spans="1:12" s="143" customFormat="1" x14ac:dyDescent="0.2">
      <c r="A5" s="9" t="s">
        <v>14</v>
      </c>
      <c r="B5" s="11"/>
      <c r="C5" s="11"/>
      <c r="D5" s="11"/>
      <c r="E5" s="11"/>
      <c r="F5" s="182" t="str">
        <f>' VV-Example ABC'!F5</f>
        <v>000012345</v>
      </c>
      <c r="G5" s="32"/>
      <c r="H5" s="33"/>
      <c r="I5" s="142"/>
      <c r="J5" s="142"/>
      <c r="K5" s="142"/>
      <c r="L5" s="142"/>
    </row>
    <row r="6" spans="1:12" s="144" customFormat="1" x14ac:dyDescent="0.2">
      <c r="A6" s="11"/>
      <c r="B6" s="11"/>
      <c r="C6" s="11"/>
      <c r="D6" s="11"/>
      <c r="E6" s="11"/>
      <c r="F6" s="52"/>
      <c r="G6" s="31"/>
      <c r="H6" s="31"/>
      <c r="I6" s="141"/>
      <c r="J6" s="141"/>
      <c r="K6" s="141"/>
      <c r="L6" s="141"/>
    </row>
    <row r="7" spans="1:12" x14ac:dyDescent="0.2">
      <c r="A7" s="9" t="s">
        <v>15</v>
      </c>
      <c r="B7" s="11"/>
      <c r="C7" s="11"/>
      <c r="D7" s="11"/>
      <c r="E7" s="11"/>
      <c r="F7" s="183">
        <f>' VV-Example ABC'!F7</f>
        <v>42767</v>
      </c>
      <c r="G7" s="31"/>
      <c r="H7" s="31"/>
    </row>
    <row r="8" spans="1:12" x14ac:dyDescent="0.2">
      <c r="A8" s="9" t="s">
        <v>17</v>
      </c>
      <c r="B8" s="11"/>
      <c r="C8" s="11"/>
      <c r="D8" s="11"/>
      <c r="E8" s="11"/>
      <c r="F8" s="182" t="str">
        <f>' VV-Example ABC'!F8</f>
        <v>01</v>
      </c>
      <c r="G8" s="31"/>
      <c r="H8" s="31"/>
    </row>
    <row r="9" spans="1:12" x14ac:dyDescent="0.2">
      <c r="A9" s="9" t="s">
        <v>5</v>
      </c>
      <c r="B9" s="11"/>
      <c r="C9" s="11"/>
      <c r="D9" s="11"/>
      <c r="E9" s="11"/>
      <c r="F9" s="183">
        <f>' VV-Example ABC'!F9</f>
        <v>42887</v>
      </c>
      <c r="G9" s="31"/>
      <c r="H9" s="31"/>
    </row>
    <row r="10" spans="1:12" x14ac:dyDescent="0.2">
      <c r="A10" s="9" t="s">
        <v>16</v>
      </c>
      <c r="B10" s="11"/>
      <c r="C10" s="11"/>
      <c r="D10" s="11"/>
      <c r="E10" s="11"/>
      <c r="F10" s="182" t="str">
        <f>' VV-Example ABC'!F10</f>
        <v>000012345N06201700</v>
      </c>
      <c r="G10" s="31"/>
      <c r="H10" s="31"/>
    </row>
    <row r="11" spans="1:12" x14ac:dyDescent="0.2">
      <c r="A11" s="9" t="s">
        <v>13</v>
      </c>
      <c r="B11" s="11"/>
      <c r="C11" s="11"/>
      <c r="D11" s="11"/>
      <c r="E11" s="11"/>
      <c r="F11" s="183">
        <f>' VV-Example ABC'!F11</f>
        <v>42916</v>
      </c>
      <c r="G11" s="31"/>
      <c r="H11" s="31"/>
    </row>
    <row r="12" spans="1:12" x14ac:dyDescent="0.2">
      <c r="A12" s="9" t="s">
        <v>7</v>
      </c>
      <c r="B12" s="11"/>
      <c r="C12" s="11"/>
      <c r="D12" s="11"/>
      <c r="E12" s="11"/>
      <c r="F12" s="182">
        <f>' VV-Example ABC'!F12</f>
        <v>123456</v>
      </c>
      <c r="G12" s="31"/>
      <c r="H12" s="31"/>
    </row>
    <row r="13" spans="1:12" x14ac:dyDescent="0.2">
      <c r="A13" s="9"/>
      <c r="B13" s="11"/>
      <c r="C13" s="11"/>
      <c r="D13" s="11"/>
      <c r="E13" s="11"/>
      <c r="F13" s="52"/>
      <c r="G13" s="31"/>
      <c r="H13" s="31"/>
    </row>
    <row r="14" spans="1:12" s="144" customFormat="1" ht="12" customHeight="1" x14ac:dyDescent="0.2">
      <c r="A14" s="9"/>
      <c r="B14" s="11"/>
      <c r="C14" s="11"/>
      <c r="D14" s="11"/>
      <c r="E14" s="11"/>
      <c r="F14" s="52"/>
      <c r="G14" s="31"/>
      <c r="H14" s="31"/>
      <c r="I14" s="141"/>
      <c r="J14" s="141"/>
      <c r="K14" s="141"/>
      <c r="L14" s="141"/>
    </row>
    <row r="15" spans="1:12" x14ac:dyDescent="0.2">
      <c r="A15" s="9"/>
      <c r="B15" s="11"/>
      <c r="C15" s="11"/>
      <c r="D15" s="11"/>
      <c r="E15" s="11"/>
      <c r="F15" s="52"/>
      <c r="G15" s="31"/>
      <c r="H15" s="31"/>
    </row>
    <row r="16" spans="1:12" x14ac:dyDescent="0.2">
      <c r="A16" s="9"/>
      <c r="B16" s="11"/>
      <c r="C16" s="11"/>
      <c r="D16" s="11"/>
      <c r="E16" s="11"/>
      <c r="F16" s="52"/>
      <c r="G16" s="31"/>
      <c r="H16" s="31"/>
    </row>
    <row r="17" spans="1:8" x14ac:dyDescent="0.2">
      <c r="A17" s="9"/>
      <c r="B17" s="11"/>
      <c r="C17" s="11"/>
      <c r="D17" s="11"/>
      <c r="E17" s="11"/>
      <c r="F17" s="52"/>
      <c r="G17" s="31"/>
      <c r="H17" s="31"/>
    </row>
    <row r="18" spans="1:8" x14ac:dyDescent="0.2">
      <c r="A18" s="53"/>
      <c r="B18" s="53"/>
      <c r="C18" s="53"/>
      <c r="D18" s="53"/>
      <c r="E18" s="53"/>
      <c r="F18" s="53"/>
      <c r="G18" s="31"/>
      <c r="H18" s="31"/>
    </row>
    <row r="19" spans="1:8" x14ac:dyDescent="0.2">
      <c r="A19" s="9" t="s">
        <v>22</v>
      </c>
      <c r="B19" s="11"/>
      <c r="C19" s="11"/>
      <c r="D19" s="11"/>
      <c r="E19" s="11"/>
      <c r="F19" s="182" t="str">
        <f>' VV-Example ABC'!F19</f>
        <v>XYZ Company</v>
      </c>
      <c r="G19" s="31"/>
      <c r="H19" s="31"/>
    </row>
    <row r="20" spans="1:8" x14ac:dyDescent="0.2">
      <c r="A20" s="9"/>
      <c r="B20" s="11"/>
      <c r="C20" s="11"/>
      <c r="D20" s="11"/>
      <c r="E20" s="11"/>
      <c r="F20" s="184"/>
      <c r="G20" s="31"/>
      <c r="H20" s="31"/>
    </row>
    <row r="21" spans="1:8" x14ac:dyDescent="0.2">
      <c r="A21" s="9" t="s">
        <v>0</v>
      </c>
      <c r="B21" s="11"/>
      <c r="C21" s="11"/>
      <c r="D21" s="11"/>
      <c r="E21" s="11"/>
      <c r="F21" s="182" t="str">
        <f>' VV-Example ABC'!F21</f>
        <v>Enter Data</v>
      </c>
      <c r="G21" s="31"/>
      <c r="H21" s="31"/>
    </row>
    <row r="22" spans="1:8" x14ac:dyDescent="0.2">
      <c r="A22" s="9" t="s">
        <v>1</v>
      </c>
      <c r="B22" s="11"/>
      <c r="C22" s="11"/>
      <c r="D22" s="11"/>
      <c r="E22" s="11"/>
      <c r="F22" s="182" t="str">
        <f>' VV-Example ABC'!F22</f>
        <v>Enter Data</v>
      </c>
      <c r="G22" s="31"/>
      <c r="H22" s="31"/>
    </row>
    <row r="23" spans="1:8" x14ac:dyDescent="0.2">
      <c r="A23" s="9" t="s">
        <v>2</v>
      </c>
      <c r="B23" s="11"/>
      <c r="C23" s="11"/>
      <c r="D23" s="11"/>
      <c r="E23" s="11"/>
      <c r="F23" s="182" t="str">
        <f>' VV-Example ABC'!F23</f>
        <v>Enter Data</v>
      </c>
      <c r="G23" s="31"/>
      <c r="H23" s="31"/>
    </row>
    <row r="24" spans="1:8" x14ac:dyDescent="0.2">
      <c r="A24" s="9" t="s">
        <v>3</v>
      </c>
      <c r="B24" s="11"/>
      <c r="C24" s="11"/>
      <c r="D24" s="11"/>
      <c r="E24" s="11"/>
      <c r="F24" s="182" t="str">
        <f>' VV-Example ABC'!F24</f>
        <v>Enter Data</v>
      </c>
      <c r="G24" s="31"/>
      <c r="H24" s="31"/>
    </row>
    <row r="25" spans="1:8" x14ac:dyDescent="0.2">
      <c r="A25" s="9" t="s">
        <v>4</v>
      </c>
      <c r="B25" s="11"/>
      <c r="C25" s="11"/>
      <c r="D25" s="11"/>
      <c r="E25" s="11"/>
      <c r="F25" s="182" t="str">
        <f>' VV-Example ABC'!F25</f>
        <v>Enter Data</v>
      </c>
      <c r="G25" s="31"/>
      <c r="H25" s="31"/>
    </row>
    <row r="26" spans="1:8" x14ac:dyDescent="0.2">
      <c r="A26" s="9" t="s">
        <v>6</v>
      </c>
      <c r="B26" s="11"/>
      <c r="C26" s="11"/>
      <c r="D26" s="11"/>
      <c r="E26" s="11"/>
      <c r="F26" s="182" t="str">
        <f>' VV-Example ABC'!F26</f>
        <v>Enter Data</v>
      </c>
      <c r="G26" s="31"/>
      <c r="H26" s="31"/>
    </row>
    <row r="27" spans="1:8" x14ac:dyDescent="0.2">
      <c r="A27" s="9" t="s">
        <v>8</v>
      </c>
      <c r="B27" s="11"/>
      <c r="C27" s="11"/>
      <c r="D27" s="11"/>
      <c r="E27" s="11"/>
      <c r="F27" s="182" t="str">
        <f>' VV-Example ABC'!F27</f>
        <v>Enter Data</v>
      </c>
      <c r="G27" s="31"/>
      <c r="H27" s="31"/>
    </row>
    <row r="28" spans="1:8" x14ac:dyDescent="0.2">
      <c r="A28" s="9" t="s">
        <v>9</v>
      </c>
      <c r="B28" s="11"/>
      <c r="C28" s="11"/>
      <c r="D28" s="11"/>
      <c r="E28" s="11"/>
      <c r="F28" s="182" t="str">
        <f>' VV-Example ABC'!F28</f>
        <v>Enter Data</v>
      </c>
      <c r="G28" s="31"/>
      <c r="H28" s="31"/>
    </row>
    <row r="29" spans="1:8" x14ac:dyDescent="0.2">
      <c r="A29" s="9" t="s">
        <v>12</v>
      </c>
      <c r="B29" s="11"/>
      <c r="C29" s="11"/>
      <c r="D29" s="11"/>
      <c r="E29" s="11"/>
      <c r="F29" s="182" t="str">
        <f>' VV-Example ABC'!F29</f>
        <v>Enter Data</v>
      </c>
      <c r="G29" s="31"/>
      <c r="H29" s="31"/>
    </row>
    <row r="30" spans="1:8" x14ac:dyDescent="0.2">
      <c r="A30" s="9" t="s">
        <v>18</v>
      </c>
      <c r="B30" s="11"/>
      <c r="C30" s="11"/>
      <c r="D30" s="11"/>
      <c r="E30" s="11"/>
      <c r="F30" s="182" t="str">
        <f>' VV-Example ABC'!F30</f>
        <v>Enter Data</v>
      </c>
      <c r="G30" s="31"/>
      <c r="H30" s="31"/>
    </row>
    <row r="31" spans="1:8" x14ac:dyDescent="0.2">
      <c r="A31" s="9" t="s">
        <v>10</v>
      </c>
      <c r="B31" s="11"/>
      <c r="C31" s="11"/>
      <c r="D31" s="11"/>
      <c r="E31" s="11"/>
      <c r="F31" s="182" t="str">
        <f>' VV-Example ABC'!F31</f>
        <v>Enter Data</v>
      </c>
      <c r="G31" s="31"/>
      <c r="H31" s="31"/>
    </row>
    <row r="32" spans="1:8" x14ac:dyDescent="0.2">
      <c r="A32" s="9" t="s">
        <v>11</v>
      </c>
      <c r="B32" s="11"/>
      <c r="C32" s="11"/>
      <c r="D32" s="11"/>
      <c r="E32" s="11"/>
      <c r="F32" s="182" t="str">
        <f>' VV-Example ABC'!F32</f>
        <v>Enter Data</v>
      </c>
      <c r="G32" s="31"/>
      <c r="H32" s="31"/>
    </row>
    <row r="33" spans="1:8" customFormat="1" ht="20.399999999999999" x14ac:dyDescent="0.25">
      <c r="A33" s="216" t="s">
        <v>19</v>
      </c>
      <c r="B33" s="216" t="s">
        <v>23</v>
      </c>
      <c r="C33" s="216" t="s">
        <v>24</v>
      </c>
      <c r="D33" s="216" t="s">
        <v>20</v>
      </c>
      <c r="E33" s="216" t="s">
        <v>25</v>
      </c>
      <c r="F33" s="216" t="s">
        <v>21</v>
      </c>
      <c r="G33" s="216" t="s">
        <v>66</v>
      </c>
      <c r="H33" s="216" t="s">
        <v>345</v>
      </c>
    </row>
    <row r="34" spans="1:8" ht="20.399999999999999" x14ac:dyDescent="0.2">
      <c r="A34" s="35">
        <v>1</v>
      </c>
      <c r="B34" s="36" t="s">
        <v>172</v>
      </c>
      <c r="C34" s="37" t="s">
        <v>88</v>
      </c>
      <c r="D34" s="38" t="s">
        <v>120</v>
      </c>
      <c r="E34" s="67"/>
      <c r="F34" s="206">
        <v>0</v>
      </c>
      <c r="G34" s="172" t="s">
        <v>121</v>
      </c>
      <c r="H34" s="246" t="s">
        <v>545</v>
      </c>
    </row>
    <row r="35" spans="1:8" x14ac:dyDescent="0.2">
      <c r="A35" s="35">
        <f>+A34+1</f>
        <v>2</v>
      </c>
      <c r="B35" s="36" t="s">
        <v>173</v>
      </c>
      <c r="C35" s="37" t="s">
        <v>88</v>
      </c>
      <c r="D35" s="38" t="s">
        <v>174</v>
      </c>
      <c r="E35" s="67"/>
      <c r="F35" s="206">
        <v>0</v>
      </c>
      <c r="G35" s="173" t="s">
        <v>175</v>
      </c>
      <c r="H35" s="180"/>
    </row>
    <row r="36" spans="1:8" x14ac:dyDescent="0.2">
      <c r="A36" s="35">
        <f t="shared" ref="A36:A47" si="0">+A35+1</f>
        <v>3</v>
      </c>
      <c r="B36" s="36" t="s">
        <v>173</v>
      </c>
      <c r="C36" s="37" t="s">
        <v>88</v>
      </c>
      <c r="D36" s="38" t="s">
        <v>176</v>
      </c>
      <c r="E36" s="67"/>
      <c r="F36" s="206">
        <v>0</v>
      </c>
      <c r="G36" s="173" t="s">
        <v>177</v>
      </c>
      <c r="H36" s="180"/>
    </row>
    <row r="37" spans="1:8" x14ac:dyDescent="0.2">
      <c r="A37" s="35">
        <f t="shared" si="0"/>
        <v>4</v>
      </c>
      <c r="B37" s="36" t="s">
        <v>173</v>
      </c>
      <c r="C37" s="37" t="s">
        <v>88</v>
      </c>
      <c r="D37" s="39" t="s">
        <v>178</v>
      </c>
      <c r="E37" s="67"/>
      <c r="F37" s="206">
        <v>1500000.12</v>
      </c>
      <c r="G37" s="173" t="s">
        <v>179</v>
      </c>
      <c r="H37" s="181"/>
    </row>
    <row r="38" spans="1:8" x14ac:dyDescent="0.2">
      <c r="A38" s="35">
        <f t="shared" si="0"/>
        <v>5</v>
      </c>
      <c r="B38" s="36" t="s">
        <v>441</v>
      </c>
      <c r="C38" s="37" t="s">
        <v>88</v>
      </c>
      <c r="D38" s="39" t="s">
        <v>178</v>
      </c>
      <c r="E38" s="67"/>
      <c r="F38" s="206">
        <v>600000</v>
      </c>
      <c r="G38" s="173" t="s">
        <v>179</v>
      </c>
      <c r="H38" s="181"/>
    </row>
    <row r="39" spans="1:8" x14ac:dyDescent="0.2">
      <c r="A39" s="35">
        <f t="shared" si="0"/>
        <v>6</v>
      </c>
      <c r="B39" s="36" t="s">
        <v>173</v>
      </c>
      <c r="C39" s="37" t="s">
        <v>88</v>
      </c>
      <c r="D39" s="38" t="s">
        <v>180</v>
      </c>
      <c r="E39" s="67"/>
      <c r="F39" s="206">
        <v>1000000.56</v>
      </c>
      <c r="G39" s="173" t="s">
        <v>332</v>
      </c>
      <c r="H39" s="181"/>
    </row>
    <row r="40" spans="1:8" x14ac:dyDescent="0.2">
      <c r="A40" s="35">
        <f t="shared" si="0"/>
        <v>7</v>
      </c>
      <c r="B40" s="36" t="s">
        <v>441</v>
      </c>
      <c r="C40" s="37" t="s">
        <v>88</v>
      </c>
      <c r="D40" s="38" t="s">
        <v>180</v>
      </c>
      <c r="E40" s="67"/>
      <c r="F40" s="206">
        <v>400000</v>
      </c>
      <c r="G40" s="173" t="s">
        <v>332</v>
      </c>
      <c r="H40" s="181"/>
    </row>
    <row r="41" spans="1:8" x14ac:dyDescent="0.2">
      <c r="A41" s="35">
        <f t="shared" si="0"/>
        <v>8</v>
      </c>
      <c r="B41" s="36" t="s">
        <v>173</v>
      </c>
      <c r="C41" s="37" t="s">
        <v>88</v>
      </c>
      <c r="D41" s="39" t="s">
        <v>181</v>
      </c>
      <c r="E41" s="67"/>
      <c r="F41" s="206">
        <v>100000.77</v>
      </c>
      <c r="G41" s="173" t="s">
        <v>182</v>
      </c>
      <c r="H41" s="181"/>
    </row>
    <row r="42" spans="1:8" x14ac:dyDescent="0.2">
      <c r="A42" s="35">
        <f t="shared" si="0"/>
        <v>9</v>
      </c>
      <c r="B42" s="36" t="s">
        <v>441</v>
      </c>
      <c r="C42" s="37" t="s">
        <v>88</v>
      </c>
      <c r="D42" s="39" t="s">
        <v>181</v>
      </c>
      <c r="E42" s="67"/>
      <c r="F42" s="206">
        <v>200000</v>
      </c>
      <c r="G42" s="173" t="s">
        <v>182</v>
      </c>
      <c r="H42" s="181"/>
    </row>
    <row r="43" spans="1:8" x14ac:dyDescent="0.2">
      <c r="A43" s="35">
        <f t="shared" si="0"/>
        <v>10</v>
      </c>
      <c r="B43" s="36" t="s">
        <v>172</v>
      </c>
      <c r="C43" s="37" t="s">
        <v>88</v>
      </c>
      <c r="D43" s="38" t="s">
        <v>183</v>
      </c>
      <c r="E43" s="67"/>
      <c r="F43" s="206">
        <v>0</v>
      </c>
      <c r="G43" s="173" t="s">
        <v>184</v>
      </c>
      <c r="H43" s="181"/>
    </row>
    <row r="44" spans="1:8" x14ac:dyDescent="0.2">
      <c r="A44" s="35">
        <f t="shared" si="0"/>
        <v>11</v>
      </c>
      <c r="B44" s="36" t="s">
        <v>172</v>
      </c>
      <c r="C44" s="37" t="s">
        <v>88</v>
      </c>
      <c r="D44" s="40" t="s">
        <v>71</v>
      </c>
      <c r="E44" s="67"/>
      <c r="F44" s="207">
        <f>SUM(F37:F43)</f>
        <v>3800001.45</v>
      </c>
      <c r="G44" s="173" t="s">
        <v>72</v>
      </c>
      <c r="H44" s="192" t="s">
        <v>501</v>
      </c>
    </row>
    <row r="45" spans="1:8" x14ac:dyDescent="0.2">
      <c r="A45" s="35">
        <f t="shared" si="0"/>
        <v>12</v>
      </c>
      <c r="B45" s="36" t="s">
        <v>172</v>
      </c>
      <c r="C45" s="37" t="s">
        <v>88</v>
      </c>
      <c r="D45" s="41" t="s">
        <v>185</v>
      </c>
      <c r="E45" s="67">
        <v>0.03</v>
      </c>
      <c r="F45" s="206"/>
      <c r="G45" s="173" t="s">
        <v>186</v>
      </c>
      <c r="H45" s="193"/>
    </row>
    <row r="46" spans="1:8" x14ac:dyDescent="0.2">
      <c r="A46" s="35">
        <f t="shared" si="0"/>
        <v>13</v>
      </c>
      <c r="B46" s="36" t="s">
        <v>172</v>
      </c>
      <c r="C46" s="37" t="s">
        <v>88</v>
      </c>
      <c r="D46" s="38" t="s">
        <v>73</v>
      </c>
      <c r="E46" s="67"/>
      <c r="F46" s="207">
        <f>ROUND(+F44*E45,2)</f>
        <v>114000.04</v>
      </c>
      <c r="G46" s="173" t="s">
        <v>74</v>
      </c>
      <c r="H46" s="192" t="s">
        <v>502</v>
      </c>
    </row>
    <row r="47" spans="1:8" x14ac:dyDescent="0.2">
      <c r="A47" s="35">
        <f t="shared" si="0"/>
        <v>14</v>
      </c>
      <c r="B47" s="36" t="s">
        <v>173</v>
      </c>
      <c r="C47" s="37" t="s">
        <v>88</v>
      </c>
      <c r="D47" s="38" t="s">
        <v>187</v>
      </c>
      <c r="E47" s="67"/>
      <c r="F47" s="206">
        <v>0</v>
      </c>
      <c r="G47" s="173" t="s">
        <v>188</v>
      </c>
      <c r="H47" s="194"/>
    </row>
    <row r="48" spans="1:8" x14ac:dyDescent="0.2">
      <c r="A48" s="35">
        <f t="shared" ref="A48:A97" si="1">A47+1</f>
        <v>15</v>
      </c>
      <c r="B48" s="36" t="s">
        <v>173</v>
      </c>
      <c r="C48" s="37" t="s">
        <v>88</v>
      </c>
      <c r="D48" s="38" t="s">
        <v>189</v>
      </c>
      <c r="E48" s="67"/>
      <c r="F48" s="206">
        <v>0</v>
      </c>
      <c r="G48" s="173" t="s">
        <v>190</v>
      </c>
      <c r="H48" s="194"/>
    </row>
    <row r="49" spans="1:10" x14ac:dyDescent="0.2">
      <c r="A49" s="35">
        <f t="shared" si="1"/>
        <v>16</v>
      </c>
      <c r="B49" s="36" t="s">
        <v>173</v>
      </c>
      <c r="C49" s="37" t="s">
        <v>88</v>
      </c>
      <c r="D49" s="38" t="s">
        <v>191</v>
      </c>
      <c r="E49" s="67"/>
      <c r="F49" s="206">
        <v>0</v>
      </c>
      <c r="G49" s="173" t="s">
        <v>192</v>
      </c>
      <c r="H49" s="194"/>
    </row>
    <row r="50" spans="1:10" x14ac:dyDescent="0.2">
      <c r="A50" s="35">
        <f t="shared" si="1"/>
        <v>17</v>
      </c>
      <c r="B50" s="36" t="s">
        <v>173</v>
      </c>
      <c r="C50" s="37" t="s">
        <v>88</v>
      </c>
      <c r="D50" s="38" t="s">
        <v>90</v>
      </c>
      <c r="E50" s="67"/>
      <c r="F50" s="206">
        <v>0</v>
      </c>
      <c r="G50" s="173" t="s">
        <v>91</v>
      </c>
      <c r="H50" s="194"/>
    </row>
    <row r="51" spans="1:10" x14ac:dyDescent="0.2">
      <c r="A51" s="35">
        <f t="shared" si="1"/>
        <v>18</v>
      </c>
      <c r="B51" s="36" t="s">
        <v>441</v>
      </c>
      <c r="C51" s="37" t="s">
        <v>88</v>
      </c>
      <c r="D51" s="38" t="s">
        <v>90</v>
      </c>
      <c r="E51" s="67"/>
      <c r="F51" s="206">
        <v>0</v>
      </c>
      <c r="G51" s="173" t="s">
        <v>91</v>
      </c>
      <c r="H51" s="194"/>
    </row>
    <row r="52" spans="1:10" x14ac:dyDescent="0.2">
      <c r="A52" s="35">
        <f t="shared" si="1"/>
        <v>19</v>
      </c>
      <c r="B52" s="36" t="s">
        <v>173</v>
      </c>
      <c r="C52" s="37" t="s">
        <v>88</v>
      </c>
      <c r="D52" s="38" t="s">
        <v>193</v>
      </c>
      <c r="E52" s="67"/>
      <c r="F52" s="206">
        <v>0</v>
      </c>
      <c r="G52" s="173" t="s">
        <v>194</v>
      </c>
      <c r="H52" s="194"/>
    </row>
    <row r="53" spans="1:10" x14ac:dyDescent="0.2">
      <c r="A53" s="131">
        <f t="shared" si="1"/>
        <v>20</v>
      </c>
      <c r="B53" s="40" t="s">
        <v>172</v>
      </c>
      <c r="C53" s="42" t="s">
        <v>88</v>
      </c>
      <c r="D53" s="40" t="str">
        <f>'PT-Example '!D103</f>
        <v>PTDC</v>
      </c>
      <c r="E53" s="68"/>
      <c r="F53" s="208">
        <f>'PT-Example '!H103</f>
        <v>0</v>
      </c>
      <c r="G53" s="173" t="s">
        <v>457</v>
      </c>
      <c r="H53" s="195" t="s">
        <v>514</v>
      </c>
    </row>
    <row r="54" spans="1:10" x14ac:dyDescent="0.2">
      <c r="A54" s="35">
        <f t="shared" si="1"/>
        <v>21</v>
      </c>
      <c r="B54" s="36" t="s">
        <v>172</v>
      </c>
      <c r="C54" s="37" t="s">
        <v>88</v>
      </c>
      <c r="D54" s="38" t="s">
        <v>79</v>
      </c>
      <c r="E54" s="67"/>
      <c r="F54" s="206">
        <v>0</v>
      </c>
      <c r="G54" s="173" t="s">
        <v>223</v>
      </c>
      <c r="H54" s="194"/>
    </row>
    <row r="55" spans="1:10" x14ac:dyDescent="0.2">
      <c r="A55" s="35">
        <f t="shared" si="1"/>
        <v>22</v>
      </c>
      <c r="B55" s="36" t="s">
        <v>172</v>
      </c>
      <c r="C55" s="37" t="s">
        <v>88</v>
      </c>
      <c r="D55" s="38" t="s">
        <v>95</v>
      </c>
      <c r="E55" s="67"/>
      <c r="F55" s="209">
        <f>' VV-Example ABC'!G60+' VV-Example DEF'!G60</f>
        <v>864000.12</v>
      </c>
      <c r="G55" s="173" t="s">
        <v>195</v>
      </c>
      <c r="H55" s="234" t="s">
        <v>442</v>
      </c>
    </row>
    <row r="56" spans="1:10" x14ac:dyDescent="0.2">
      <c r="A56" s="131">
        <f t="shared" si="1"/>
        <v>23</v>
      </c>
      <c r="B56" s="36" t="s">
        <v>172</v>
      </c>
      <c r="C56" s="37" t="s">
        <v>88</v>
      </c>
      <c r="D56" s="38" t="s">
        <v>196</v>
      </c>
      <c r="E56" s="67"/>
      <c r="F56" s="207">
        <f>+F44+SUM(F46:F55)</f>
        <v>4778001.6100000003</v>
      </c>
      <c r="G56" s="173" t="s">
        <v>197</v>
      </c>
      <c r="H56" s="192" t="s">
        <v>493</v>
      </c>
    </row>
    <row r="57" spans="1:10" x14ac:dyDescent="0.2">
      <c r="A57" s="35">
        <f t="shared" si="1"/>
        <v>24</v>
      </c>
      <c r="B57" s="36" t="s">
        <v>172</v>
      </c>
      <c r="C57" s="37" t="s">
        <v>88</v>
      </c>
      <c r="D57" s="38" t="s">
        <v>198</v>
      </c>
      <c r="E57" s="67"/>
      <c r="F57" s="210">
        <f>IF(F96&gt;0,0,+F96)</f>
        <v>-29741163.550000001</v>
      </c>
      <c r="G57" s="173" t="s">
        <v>199</v>
      </c>
      <c r="H57" s="192" t="s">
        <v>494</v>
      </c>
    </row>
    <row r="58" spans="1:10" x14ac:dyDescent="0.2">
      <c r="A58" s="35">
        <f t="shared" si="1"/>
        <v>25</v>
      </c>
      <c r="B58" s="36" t="s">
        <v>172</v>
      </c>
      <c r="C58" s="37" t="s">
        <v>88</v>
      </c>
      <c r="D58" s="38" t="s">
        <v>200</v>
      </c>
      <c r="E58" s="67"/>
      <c r="F58" s="210">
        <f>+F34+F56+F57</f>
        <v>-24963161.940000001</v>
      </c>
      <c r="G58" s="173" t="s">
        <v>201</v>
      </c>
      <c r="H58" s="192" t="s">
        <v>495</v>
      </c>
    </row>
    <row r="59" spans="1:10" x14ac:dyDescent="0.2">
      <c r="A59" s="35">
        <f t="shared" si="1"/>
        <v>26</v>
      </c>
      <c r="B59" s="36" t="s">
        <v>172</v>
      </c>
      <c r="C59" s="37" t="s">
        <v>88</v>
      </c>
      <c r="D59" s="38" t="s">
        <v>202</v>
      </c>
      <c r="E59" s="67"/>
      <c r="F59" s="207">
        <f>ROUND(IF(F58&lt;0,0,(+F34+F58)*0.5),2)</f>
        <v>0</v>
      </c>
      <c r="G59" s="173" t="s">
        <v>203</v>
      </c>
      <c r="H59" s="192" t="s">
        <v>496</v>
      </c>
    </row>
    <row r="60" spans="1:10" x14ac:dyDescent="0.2">
      <c r="A60" s="35">
        <f t="shared" si="1"/>
        <v>27</v>
      </c>
      <c r="B60" s="36" t="s">
        <v>172</v>
      </c>
      <c r="C60" s="37" t="s">
        <v>88</v>
      </c>
      <c r="D60" s="38" t="s">
        <v>204</v>
      </c>
      <c r="E60" s="68">
        <v>2.7082999999999999E-3</v>
      </c>
      <c r="F60" s="206"/>
      <c r="G60" s="173" t="s">
        <v>205</v>
      </c>
      <c r="H60" s="194"/>
    </row>
    <row r="61" spans="1:10" x14ac:dyDescent="0.2">
      <c r="A61" s="35">
        <f t="shared" si="1"/>
        <v>28</v>
      </c>
      <c r="B61" s="36" t="s">
        <v>172</v>
      </c>
      <c r="C61" s="37" t="s">
        <v>88</v>
      </c>
      <c r="D61" s="39" t="s">
        <v>206</v>
      </c>
      <c r="E61" s="67"/>
      <c r="F61" s="207">
        <f>ROUND(F59*E60,2)</f>
        <v>0</v>
      </c>
      <c r="G61" s="173" t="s">
        <v>207</v>
      </c>
      <c r="H61" s="192" t="s">
        <v>497</v>
      </c>
    </row>
    <row r="62" spans="1:10" x14ac:dyDescent="0.2">
      <c r="A62" s="35">
        <f t="shared" si="1"/>
        <v>29</v>
      </c>
      <c r="B62" s="36" t="s">
        <v>172</v>
      </c>
      <c r="C62" s="37" t="s">
        <v>88</v>
      </c>
      <c r="D62" s="40" t="s">
        <v>208</v>
      </c>
      <c r="E62" s="67"/>
      <c r="F62" s="210">
        <f>+F58+F61</f>
        <v>-24963161.940000001</v>
      </c>
      <c r="G62" s="173" t="s">
        <v>455</v>
      </c>
      <c r="H62" s="192" t="s">
        <v>498</v>
      </c>
    </row>
    <row r="63" spans="1:10" x14ac:dyDescent="0.2">
      <c r="A63" s="35">
        <f t="shared" si="1"/>
        <v>30</v>
      </c>
      <c r="B63" s="36" t="s">
        <v>172</v>
      </c>
      <c r="C63" s="37" t="s">
        <v>88</v>
      </c>
      <c r="D63" s="38" t="s">
        <v>209</v>
      </c>
      <c r="E63" s="67"/>
      <c r="F63" s="210">
        <f>F62</f>
        <v>-24963161.940000001</v>
      </c>
      <c r="G63" s="173" t="s">
        <v>210</v>
      </c>
      <c r="H63" s="192" t="s">
        <v>453</v>
      </c>
      <c r="J63" s="233"/>
    </row>
    <row r="64" spans="1:10" x14ac:dyDescent="0.2">
      <c r="A64" s="35">
        <f t="shared" si="1"/>
        <v>31</v>
      </c>
      <c r="B64" s="36" t="s">
        <v>172</v>
      </c>
      <c r="C64" s="37" t="s">
        <v>122</v>
      </c>
      <c r="D64" s="38" t="s">
        <v>208</v>
      </c>
      <c r="E64" s="67"/>
      <c r="F64" s="207">
        <f>IF(F62&gt;0,0,-F63)</f>
        <v>24963161.940000001</v>
      </c>
      <c r="G64" s="173" t="s">
        <v>456</v>
      </c>
      <c r="H64" s="192" t="s">
        <v>499</v>
      </c>
    </row>
    <row r="65" spans="1:9" x14ac:dyDescent="0.2">
      <c r="A65" s="35">
        <f t="shared" si="1"/>
        <v>32</v>
      </c>
      <c r="B65" s="36" t="s">
        <v>172</v>
      </c>
      <c r="C65" s="37" t="s">
        <v>122</v>
      </c>
      <c r="D65" s="38" t="s">
        <v>123</v>
      </c>
      <c r="E65" s="68">
        <v>0.4</v>
      </c>
      <c r="F65" s="206"/>
      <c r="G65" s="173" t="s">
        <v>124</v>
      </c>
      <c r="H65" s="194"/>
    </row>
    <row r="66" spans="1:9" x14ac:dyDescent="0.2">
      <c r="A66" s="35">
        <f t="shared" si="1"/>
        <v>33</v>
      </c>
      <c r="B66" s="36" t="s">
        <v>172</v>
      </c>
      <c r="C66" s="37" t="s">
        <v>122</v>
      </c>
      <c r="D66" s="38" t="s">
        <v>211</v>
      </c>
      <c r="E66" s="67"/>
      <c r="F66" s="207">
        <f>ROUND(+F64*E65,2)</f>
        <v>9985264.7799999993</v>
      </c>
      <c r="G66" s="173" t="s">
        <v>212</v>
      </c>
      <c r="H66" s="192" t="s">
        <v>500</v>
      </c>
    </row>
    <row r="67" spans="1:9" x14ac:dyDescent="0.2">
      <c r="A67" s="35">
        <f t="shared" si="1"/>
        <v>34</v>
      </c>
      <c r="B67" s="36" t="s">
        <v>172</v>
      </c>
      <c r="C67" s="37" t="s">
        <v>122</v>
      </c>
      <c r="D67" s="37" t="s">
        <v>386</v>
      </c>
      <c r="E67" s="67"/>
      <c r="F67" s="207">
        <v>1055.77</v>
      </c>
      <c r="G67" s="173" t="s">
        <v>387</v>
      </c>
      <c r="H67" s="192" t="s">
        <v>454</v>
      </c>
    </row>
    <row r="68" spans="1:9" x14ac:dyDescent="0.2">
      <c r="A68" s="35">
        <f t="shared" si="1"/>
        <v>35</v>
      </c>
      <c r="B68" s="36" t="s">
        <v>172</v>
      </c>
      <c r="C68" s="37" t="s">
        <v>122</v>
      </c>
      <c r="D68" s="37" t="s">
        <v>388</v>
      </c>
      <c r="E68" s="67"/>
      <c r="F68" s="207">
        <v>8.8918334016393441</v>
      </c>
      <c r="G68" s="173" t="s">
        <v>389</v>
      </c>
      <c r="H68" s="192" t="s">
        <v>392</v>
      </c>
    </row>
    <row r="69" spans="1:9" x14ac:dyDescent="0.2">
      <c r="A69" s="35">
        <f t="shared" si="1"/>
        <v>36</v>
      </c>
      <c r="B69" s="36" t="s">
        <v>172</v>
      </c>
      <c r="C69" s="37" t="s">
        <v>122</v>
      </c>
      <c r="D69" s="37" t="s">
        <v>390</v>
      </c>
      <c r="E69" s="67"/>
      <c r="F69" s="207">
        <f>F67+F68</f>
        <v>1064.6618334016393</v>
      </c>
      <c r="G69" s="173" t="s">
        <v>391</v>
      </c>
      <c r="H69" s="192" t="s">
        <v>393</v>
      </c>
    </row>
    <row r="70" spans="1:9" x14ac:dyDescent="0.2">
      <c r="A70" s="35">
        <f t="shared" si="1"/>
        <v>37</v>
      </c>
      <c r="B70" s="36" t="s">
        <v>172</v>
      </c>
      <c r="C70" s="43" t="s">
        <v>68</v>
      </c>
      <c r="D70" s="44" t="s">
        <v>120</v>
      </c>
      <c r="E70" s="67"/>
      <c r="F70" s="206">
        <v>0</v>
      </c>
      <c r="G70" s="173" t="s">
        <v>213</v>
      </c>
      <c r="H70" s="240" t="s">
        <v>506</v>
      </c>
    </row>
    <row r="71" spans="1:9" ht="15.6" x14ac:dyDescent="0.3">
      <c r="A71" s="35">
        <f t="shared" si="1"/>
        <v>38</v>
      </c>
      <c r="B71" s="36" t="s">
        <v>173</v>
      </c>
      <c r="C71" s="43" t="s">
        <v>68</v>
      </c>
      <c r="D71" s="44" t="s">
        <v>70</v>
      </c>
      <c r="E71" s="67" t="s">
        <v>69</v>
      </c>
      <c r="F71" s="211">
        <f>-(' VV-Example ABC'!G55+' VV-Example ABC'!G73)</f>
        <v>-32339093.690000001</v>
      </c>
      <c r="G71" s="173" t="s">
        <v>452</v>
      </c>
      <c r="H71" s="234" t="s">
        <v>446</v>
      </c>
      <c r="I71" s="235"/>
    </row>
    <row r="72" spans="1:9" ht="15.6" x14ac:dyDescent="0.3">
      <c r="A72" s="35">
        <f t="shared" si="1"/>
        <v>39</v>
      </c>
      <c r="B72" s="36" t="s">
        <v>441</v>
      </c>
      <c r="C72" s="43" t="s">
        <v>68</v>
      </c>
      <c r="D72" s="44" t="s">
        <v>70</v>
      </c>
      <c r="E72" s="67"/>
      <c r="F72" s="211">
        <f>-(' VV-Example DEF'!G55+' VV-Example DEF'!G73)</f>
        <v>-4046527.3</v>
      </c>
      <c r="G72" s="173" t="s">
        <v>452</v>
      </c>
      <c r="H72" s="234" t="s">
        <v>447</v>
      </c>
      <c r="I72" s="235"/>
    </row>
    <row r="73" spans="1:9" x14ac:dyDescent="0.2">
      <c r="A73" s="35">
        <f t="shared" si="1"/>
        <v>40</v>
      </c>
      <c r="B73" s="36" t="s">
        <v>173</v>
      </c>
      <c r="C73" s="37" t="s">
        <v>68</v>
      </c>
      <c r="D73" s="38" t="s">
        <v>214</v>
      </c>
      <c r="E73" s="67"/>
      <c r="F73" s="206">
        <v>3000.66</v>
      </c>
      <c r="G73" s="173" t="s">
        <v>215</v>
      </c>
      <c r="H73" s="194"/>
    </row>
    <row r="74" spans="1:9" x14ac:dyDescent="0.2">
      <c r="A74" s="35">
        <f t="shared" si="1"/>
        <v>41</v>
      </c>
      <c r="B74" s="36" t="s">
        <v>441</v>
      </c>
      <c r="C74" s="37" t="s">
        <v>68</v>
      </c>
      <c r="D74" s="38" t="s">
        <v>214</v>
      </c>
      <c r="E74" s="67"/>
      <c r="F74" s="206">
        <v>1200</v>
      </c>
      <c r="G74" s="173" t="s">
        <v>215</v>
      </c>
      <c r="H74" s="194"/>
    </row>
    <row r="75" spans="1:9" x14ac:dyDescent="0.2">
      <c r="A75" s="35">
        <f t="shared" si="1"/>
        <v>42</v>
      </c>
      <c r="B75" s="36" t="s">
        <v>173</v>
      </c>
      <c r="C75" s="37" t="s">
        <v>68</v>
      </c>
      <c r="D75" s="38" t="s">
        <v>216</v>
      </c>
      <c r="E75" s="67"/>
      <c r="F75" s="206">
        <v>0</v>
      </c>
      <c r="G75" s="173" t="s">
        <v>217</v>
      </c>
      <c r="H75" s="194"/>
    </row>
    <row r="76" spans="1:9" x14ac:dyDescent="0.2">
      <c r="A76" s="35">
        <f t="shared" si="1"/>
        <v>43</v>
      </c>
      <c r="B76" s="36" t="s">
        <v>173</v>
      </c>
      <c r="C76" s="37" t="s">
        <v>68</v>
      </c>
      <c r="D76" s="38" t="s">
        <v>218</v>
      </c>
      <c r="E76" s="67"/>
      <c r="F76" s="206">
        <v>1500.56</v>
      </c>
      <c r="G76" s="173" t="s">
        <v>219</v>
      </c>
      <c r="H76" s="194"/>
    </row>
    <row r="77" spans="1:9" x14ac:dyDescent="0.2">
      <c r="A77" s="35">
        <f t="shared" si="1"/>
        <v>44</v>
      </c>
      <c r="B77" s="36" t="s">
        <v>441</v>
      </c>
      <c r="C77" s="37" t="s">
        <v>68</v>
      </c>
      <c r="D77" s="38" t="s">
        <v>218</v>
      </c>
      <c r="E77" s="67"/>
      <c r="F77" s="206">
        <v>250</v>
      </c>
      <c r="G77" s="173" t="s">
        <v>219</v>
      </c>
      <c r="H77" s="194"/>
    </row>
    <row r="78" spans="1:9" x14ac:dyDescent="0.2">
      <c r="A78" s="35">
        <f t="shared" si="1"/>
        <v>45</v>
      </c>
      <c r="B78" s="36" t="s">
        <v>172</v>
      </c>
      <c r="C78" s="43" t="s">
        <v>68</v>
      </c>
      <c r="D78" s="44" t="s">
        <v>220</v>
      </c>
      <c r="E78" s="67" t="s">
        <v>69</v>
      </c>
      <c r="F78" s="206">
        <v>0</v>
      </c>
      <c r="G78" s="173" t="s">
        <v>221</v>
      </c>
      <c r="H78" s="194"/>
    </row>
    <row r="79" spans="1:9" x14ac:dyDescent="0.2">
      <c r="A79" s="35">
        <f t="shared" si="1"/>
        <v>46</v>
      </c>
      <c r="B79" s="36" t="s">
        <v>172</v>
      </c>
      <c r="C79" s="43" t="s">
        <v>68</v>
      </c>
      <c r="D79" s="38" t="s">
        <v>183</v>
      </c>
      <c r="E79" s="67"/>
      <c r="F79" s="206">
        <v>0</v>
      </c>
      <c r="G79" s="173" t="s">
        <v>184</v>
      </c>
      <c r="H79" s="194"/>
    </row>
    <row r="80" spans="1:9" x14ac:dyDescent="0.2">
      <c r="A80" s="35">
        <f t="shared" si="1"/>
        <v>47</v>
      </c>
      <c r="B80" s="36" t="s">
        <v>172</v>
      </c>
      <c r="C80" s="43" t="s">
        <v>68</v>
      </c>
      <c r="D80" s="40" t="s">
        <v>71</v>
      </c>
      <c r="E80" s="67"/>
      <c r="F80" s="207">
        <f>SUM(F73:F79)</f>
        <v>5951.2199999999993</v>
      </c>
      <c r="G80" s="173" t="s">
        <v>72</v>
      </c>
      <c r="H80" s="192" t="s">
        <v>503</v>
      </c>
    </row>
    <row r="81" spans="1:8" x14ac:dyDescent="0.2">
      <c r="A81" s="35">
        <f t="shared" si="1"/>
        <v>48</v>
      </c>
      <c r="B81" s="36" t="s">
        <v>172</v>
      </c>
      <c r="C81" s="37" t="s">
        <v>68</v>
      </c>
      <c r="D81" s="41" t="s">
        <v>185</v>
      </c>
      <c r="E81" s="67">
        <v>0.09</v>
      </c>
      <c r="F81" s="206"/>
      <c r="G81" s="173" t="s">
        <v>186</v>
      </c>
      <c r="H81" s="194"/>
    </row>
    <row r="82" spans="1:8" x14ac:dyDescent="0.2">
      <c r="A82" s="35">
        <f t="shared" si="1"/>
        <v>49</v>
      </c>
      <c r="B82" s="36" t="s">
        <v>172</v>
      </c>
      <c r="C82" s="37" t="s">
        <v>68</v>
      </c>
      <c r="D82" s="38" t="s">
        <v>73</v>
      </c>
      <c r="E82" s="67"/>
      <c r="F82" s="207">
        <f>ROUND(+F80*E81,2)</f>
        <v>535.61</v>
      </c>
      <c r="G82" s="173" t="s">
        <v>74</v>
      </c>
      <c r="H82" s="192" t="s">
        <v>502</v>
      </c>
    </row>
    <row r="83" spans="1:8" x14ac:dyDescent="0.2">
      <c r="A83" s="35">
        <f t="shared" si="1"/>
        <v>50</v>
      </c>
      <c r="B83" s="36" t="s">
        <v>173</v>
      </c>
      <c r="C83" s="37" t="s">
        <v>68</v>
      </c>
      <c r="D83" s="38" t="s">
        <v>222</v>
      </c>
      <c r="E83" s="67"/>
      <c r="F83" s="209">
        <f>+' VV-Example ABC'!G58+' VV-Example ABC'!G78</f>
        <v>142910.41</v>
      </c>
      <c r="G83" s="173" t="s">
        <v>458</v>
      </c>
      <c r="H83" s="196" t="s">
        <v>448</v>
      </c>
    </row>
    <row r="84" spans="1:8" x14ac:dyDescent="0.2">
      <c r="A84" s="35">
        <f t="shared" si="1"/>
        <v>51</v>
      </c>
      <c r="B84" s="36" t="s">
        <v>441</v>
      </c>
      <c r="C84" s="37" t="s">
        <v>68</v>
      </c>
      <c r="D84" s="38" t="s">
        <v>222</v>
      </c>
      <c r="E84" s="67"/>
      <c r="F84" s="209">
        <f>+' VV-Example DEF'!G58+' VV-Example DEF'!G78</f>
        <v>17875.84</v>
      </c>
      <c r="G84" s="173" t="s">
        <v>458</v>
      </c>
      <c r="H84" s="196" t="s">
        <v>449</v>
      </c>
    </row>
    <row r="85" spans="1:8" x14ac:dyDescent="0.2">
      <c r="A85" s="35">
        <f t="shared" si="1"/>
        <v>52</v>
      </c>
      <c r="B85" s="45" t="s">
        <v>172</v>
      </c>
      <c r="C85" s="46" t="s">
        <v>68</v>
      </c>
      <c r="D85" s="47" t="str">
        <f>'PT-Example '!D100</f>
        <v>PTLA</v>
      </c>
      <c r="E85" s="68"/>
      <c r="F85" s="212">
        <f>'PT-Example '!H100</f>
        <v>1414970.5200000009</v>
      </c>
      <c r="G85" s="173" t="s">
        <v>460</v>
      </c>
      <c r="H85" s="197" t="s">
        <v>512</v>
      </c>
    </row>
    <row r="86" spans="1:8" x14ac:dyDescent="0.2">
      <c r="A86" s="35">
        <f t="shared" si="1"/>
        <v>53</v>
      </c>
      <c r="B86" s="40" t="s">
        <v>172</v>
      </c>
      <c r="C86" s="46" t="s">
        <v>68</v>
      </c>
      <c r="D86" s="47" t="str">
        <f>'PT-Example '!D102</f>
        <v>PTLRC</v>
      </c>
      <c r="E86" s="68"/>
      <c r="F86" s="212">
        <f>'PT-Example '!H102</f>
        <v>0</v>
      </c>
      <c r="G86" s="173" t="s">
        <v>459</v>
      </c>
      <c r="H86" s="197" t="s">
        <v>513</v>
      </c>
    </row>
    <row r="87" spans="1:8" x14ac:dyDescent="0.2">
      <c r="A87" s="35">
        <f t="shared" si="1"/>
        <v>54</v>
      </c>
      <c r="B87" s="36" t="s">
        <v>173</v>
      </c>
      <c r="C87" s="43" t="s">
        <v>68</v>
      </c>
      <c r="D87" s="44" t="s">
        <v>75</v>
      </c>
      <c r="E87" s="67"/>
      <c r="F87" s="206">
        <v>1500.88</v>
      </c>
      <c r="G87" s="173" t="s">
        <v>76</v>
      </c>
      <c r="H87" s="194"/>
    </row>
    <row r="88" spans="1:8" x14ac:dyDescent="0.2">
      <c r="A88" s="35">
        <f t="shared" si="1"/>
        <v>55</v>
      </c>
      <c r="B88" s="36" t="s">
        <v>441</v>
      </c>
      <c r="C88" s="43" t="s">
        <v>68</v>
      </c>
      <c r="D88" s="44" t="s">
        <v>75</v>
      </c>
      <c r="E88" s="67"/>
      <c r="F88" s="206">
        <v>175</v>
      </c>
      <c r="G88" s="173" t="s">
        <v>76</v>
      </c>
      <c r="H88" s="194"/>
    </row>
    <row r="89" spans="1:8" x14ac:dyDescent="0.2">
      <c r="A89" s="35">
        <f t="shared" si="1"/>
        <v>56</v>
      </c>
      <c r="B89" s="36" t="s">
        <v>173</v>
      </c>
      <c r="C89" s="43" t="s">
        <v>68</v>
      </c>
      <c r="D89" s="44" t="s">
        <v>77</v>
      </c>
      <c r="E89" s="67"/>
      <c r="F89" s="206">
        <v>5000.12</v>
      </c>
      <c r="G89" s="173" t="s">
        <v>78</v>
      </c>
      <c r="H89" s="194"/>
    </row>
    <row r="90" spans="1:8" x14ac:dyDescent="0.2">
      <c r="A90" s="35">
        <f t="shared" si="1"/>
        <v>57</v>
      </c>
      <c r="B90" s="36" t="s">
        <v>441</v>
      </c>
      <c r="C90" s="43" t="s">
        <v>68</v>
      </c>
      <c r="D90" s="44" t="s">
        <v>77</v>
      </c>
      <c r="E90" s="67"/>
      <c r="F90" s="206">
        <v>3200</v>
      </c>
      <c r="G90" s="173" t="s">
        <v>78</v>
      </c>
      <c r="H90" s="194"/>
    </row>
    <row r="91" spans="1:8" x14ac:dyDescent="0.2">
      <c r="A91" s="35">
        <f t="shared" si="1"/>
        <v>58</v>
      </c>
      <c r="B91" s="36" t="s">
        <v>172</v>
      </c>
      <c r="C91" s="43" t="s">
        <v>68</v>
      </c>
      <c r="D91" s="38" t="s">
        <v>79</v>
      </c>
      <c r="E91" s="67"/>
      <c r="F91" s="206">
        <v>0</v>
      </c>
      <c r="G91" s="173" t="s">
        <v>223</v>
      </c>
      <c r="H91" s="194"/>
    </row>
    <row r="92" spans="1:8" x14ac:dyDescent="0.2">
      <c r="A92" s="35">
        <f t="shared" si="1"/>
        <v>59</v>
      </c>
      <c r="B92" s="36" t="s">
        <v>172</v>
      </c>
      <c r="C92" s="43" t="s">
        <v>68</v>
      </c>
      <c r="D92" s="44" t="s">
        <v>224</v>
      </c>
      <c r="E92" s="67"/>
      <c r="F92" s="207">
        <f>SUM(F82:F91)</f>
        <v>1586168.3800000008</v>
      </c>
      <c r="G92" s="173" t="s">
        <v>225</v>
      </c>
      <c r="H92" s="192" t="s">
        <v>504</v>
      </c>
    </row>
    <row r="93" spans="1:8" x14ac:dyDescent="0.2">
      <c r="A93" s="35">
        <f t="shared" si="1"/>
        <v>60</v>
      </c>
      <c r="B93" s="36" t="s">
        <v>173</v>
      </c>
      <c r="C93" s="37" t="s">
        <v>68</v>
      </c>
      <c r="D93" s="36" t="s">
        <v>81</v>
      </c>
      <c r="E93" s="67" t="s">
        <v>69</v>
      </c>
      <c r="F93" s="209">
        <f>+' VV-Example ABC'!G56+' VV-Example ABC'!G74</f>
        <v>4490822.21</v>
      </c>
      <c r="G93" s="173" t="s">
        <v>461</v>
      </c>
      <c r="H93" s="196" t="s">
        <v>451</v>
      </c>
    </row>
    <row r="94" spans="1:8" x14ac:dyDescent="0.2">
      <c r="A94" s="35">
        <f t="shared" si="1"/>
        <v>61</v>
      </c>
      <c r="B94" s="36" t="s">
        <v>441</v>
      </c>
      <c r="C94" s="37" t="s">
        <v>68</v>
      </c>
      <c r="D94" s="36" t="s">
        <v>81</v>
      </c>
      <c r="E94" s="67" t="s">
        <v>69</v>
      </c>
      <c r="F94" s="209">
        <f>+' VV-Example DEF'!G56+' VV-Example DEF'!G74</f>
        <v>561515.63</v>
      </c>
      <c r="G94" s="173" t="s">
        <v>461</v>
      </c>
      <c r="H94" s="196" t="s">
        <v>450</v>
      </c>
    </row>
    <row r="95" spans="1:8" x14ac:dyDescent="0.2">
      <c r="A95" s="35">
        <f t="shared" si="1"/>
        <v>62</v>
      </c>
      <c r="B95" s="36" t="s">
        <v>172</v>
      </c>
      <c r="C95" s="37" t="s">
        <v>68</v>
      </c>
      <c r="D95" s="36" t="s">
        <v>226</v>
      </c>
      <c r="E95" s="67" t="s">
        <v>69</v>
      </c>
      <c r="F95" s="207">
        <f>F80+F92+F93+F94</f>
        <v>6644457.4400000004</v>
      </c>
      <c r="G95" s="173" t="s">
        <v>227</v>
      </c>
      <c r="H95" s="192" t="s">
        <v>516</v>
      </c>
    </row>
    <row r="96" spans="1:8" x14ac:dyDescent="0.2">
      <c r="A96" s="35">
        <f t="shared" si="1"/>
        <v>63</v>
      </c>
      <c r="B96" s="36" t="s">
        <v>172</v>
      </c>
      <c r="C96" s="37" t="s">
        <v>68</v>
      </c>
      <c r="D96" s="36" t="s">
        <v>228</v>
      </c>
      <c r="E96" s="67" t="s">
        <v>69</v>
      </c>
      <c r="F96" s="210">
        <f>+F70+F71+F72+F95</f>
        <v>-29741163.550000001</v>
      </c>
      <c r="G96" s="173" t="s">
        <v>229</v>
      </c>
      <c r="H96" s="192" t="s">
        <v>515</v>
      </c>
    </row>
    <row r="97" spans="1:8" x14ac:dyDescent="0.2">
      <c r="A97" s="35">
        <f t="shared" si="1"/>
        <v>64</v>
      </c>
      <c r="B97" s="36" t="s">
        <v>172</v>
      </c>
      <c r="C97" s="37" t="s">
        <v>68</v>
      </c>
      <c r="D97" s="38" t="s">
        <v>209</v>
      </c>
      <c r="E97" s="67"/>
      <c r="F97" s="207">
        <f>+IF(F96&gt;0,F96,0)</f>
        <v>0</v>
      </c>
      <c r="G97" s="173" t="s">
        <v>210</v>
      </c>
      <c r="H97" s="192" t="s">
        <v>505</v>
      </c>
    </row>
    <row r="98" spans="1:8" ht="10.8" thickBot="1" x14ac:dyDescent="0.25"/>
    <row r="99" spans="1:8" ht="15.6" x14ac:dyDescent="0.3">
      <c r="A99" s="174" t="s">
        <v>230</v>
      </c>
      <c r="B99" s="175"/>
      <c r="C99" s="175"/>
      <c r="D99" s="175"/>
      <c r="E99" s="175"/>
      <c r="F99" s="176"/>
    </row>
    <row r="100" spans="1:8" ht="13.2" x14ac:dyDescent="0.25">
      <c r="A100" s="223" t="s">
        <v>231</v>
      </c>
      <c r="B100" s="14"/>
      <c r="C100" s="14"/>
      <c r="D100" s="14"/>
      <c r="E100" s="14"/>
      <c r="F100" s="224"/>
    </row>
    <row r="101" spans="1:8" ht="13.2" x14ac:dyDescent="0.25">
      <c r="A101" s="227" t="s">
        <v>232</v>
      </c>
      <c r="B101" s="50"/>
      <c r="C101" s="50"/>
      <c r="D101" s="50"/>
      <c r="E101" s="50"/>
      <c r="F101" s="228"/>
    </row>
    <row r="102" spans="1:8" ht="13.8" thickBot="1" x14ac:dyDescent="0.3">
      <c r="A102" s="229" t="s">
        <v>233</v>
      </c>
      <c r="B102" s="230"/>
      <c r="C102" s="230"/>
      <c r="D102" s="230"/>
      <c r="E102" s="230"/>
      <c r="F102" s="231"/>
    </row>
  </sheetData>
  <sheetProtection selectLockedCells="1"/>
  <conditionalFormatting sqref="A54:A66 A34:A52">
    <cfRule type="cellIs" dxfId="1" priority="2" stopIfTrue="1" operator="equal">
      <formula>"A32"</formula>
    </cfRule>
  </conditionalFormatting>
  <conditionalFormatting sqref="A67:A97">
    <cfRule type="cellIs" dxfId="0" priority="1" stopIfTrue="1" operator="equal">
      <formula>"A32"</formula>
    </cfRule>
  </conditionalFormatting>
  <dataValidations xWindow="545" yWindow="409" count="1">
    <dataValidation type="whole" operator="greaterThanOrEqual" allowBlank="1" showInputMessage="1" showErrorMessage="1" error="VALUE MUST BE EQUAL TO OR GREATER THAN 0" promptTitle="DV BEGB BALANCE" prompt="ENTER ENDING BALANCE FROM LAST MONTH, IF DV ENDB IS &gt;= 0" sqref="F34">
      <formula1>0</formula1>
    </dataValidation>
  </dataValidations>
  <pageMargins left="0.33" right="0" top="0.22" bottom="0.17" header="0.17" footer="0.19"/>
  <pageSetup scale="71" orientation="portrait" r:id="rId1"/>
  <headerFooter alignWithMargins="0">
    <oddHeader>&amp;C&amp;G</oddHeader>
    <oddFooter>&amp;R&amp;"Arial,Bold"&amp;6File:&amp;F</oddFooter>
  </headerFooter>
  <ignoredErrors>
    <ignoredError sqref="A97:F97 F5:F6 B43:F43 B52:F54 B44:E44 B56:F59 B55:E55 B71:E71 B39:E39 B37:E37 B41:E41 A53:A70 B73:E73 B75:E75 B78:F82 B83:E83 B89:E89 B85:F86 B91:F92 B93:E93 B95:E95 A48:A50 B45:F50 B61:F64 B60:D60 F60 A96:E96 F8:F32 B76:E76 B87:E87 B66:F70 B65:D65 F6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W135"/>
  <sheetViews>
    <sheetView tabSelected="1" topLeftCell="A93" zoomScale="90" zoomScaleNormal="90" workbookViewId="0">
      <selection activeCell="H100" sqref="H100"/>
    </sheetView>
  </sheetViews>
  <sheetFormatPr defaultColWidth="9.109375" defaultRowHeight="13.2" x14ac:dyDescent="0.25"/>
  <cols>
    <col min="1" max="1" width="4.33203125" style="5" customWidth="1"/>
    <col min="2" max="2" width="8.5546875" style="5" customWidth="1"/>
    <col min="3" max="3" width="8.6640625" style="5" customWidth="1"/>
    <col min="4" max="4" width="11.109375" style="28" customWidth="1"/>
    <col min="5" max="5" width="11" style="5" bestFit="1" customWidth="1"/>
    <col min="6" max="6" width="13.5546875" style="267" customWidth="1"/>
    <col min="7" max="7" width="12.44140625" style="62" customWidth="1"/>
    <col min="8" max="8" width="14.5546875" style="5" bestFit="1" customWidth="1"/>
    <col min="9" max="9" width="54.88671875" style="5" bestFit="1" customWidth="1"/>
    <col min="10" max="10" width="44.33203125" style="5" customWidth="1"/>
    <col min="11" max="11" width="16.88671875" customWidth="1"/>
    <col min="12" max="12" width="19" bestFit="1" customWidth="1"/>
    <col min="13" max="13" width="3" bestFit="1" customWidth="1"/>
    <col min="14" max="14" width="40" customWidth="1"/>
    <col min="15" max="15" width="37.33203125" style="5" customWidth="1"/>
    <col min="16" max="16" width="13" style="5" customWidth="1"/>
    <col min="17" max="17" width="10" style="5" customWidth="1"/>
    <col min="18" max="16384" width="9.109375" style="5"/>
  </cols>
  <sheetData>
    <row r="1" spans="1:17" ht="41.25" customHeight="1" thickBot="1" x14ac:dyDescent="0.35">
      <c r="A1" s="1" t="str">
        <f>' VV-Example ABC'!A1</f>
        <v>ALASKA DNR - OIL &amp; GAS  UPDATED 201701</v>
      </c>
      <c r="B1" s="7"/>
      <c r="C1" s="7"/>
      <c r="D1" s="8"/>
      <c r="H1" s="1" t="str">
        <f>+' VV-Example ABC'!G1</f>
        <v>EXAMPLE TEMPLATE, FORMATTED FOR FILING</v>
      </c>
      <c r="I1"/>
      <c r="J1"/>
      <c r="O1" s="4"/>
      <c r="Q1" s="6"/>
    </row>
    <row r="2" spans="1:17" ht="15.6" x14ac:dyDescent="0.3">
      <c r="A2" s="9" t="s">
        <v>38</v>
      </c>
      <c r="B2" s="10"/>
      <c r="C2" s="10"/>
      <c r="D2" s="11" t="s">
        <v>521</v>
      </c>
      <c r="E2" s="10"/>
      <c r="F2" s="10" t="s">
        <v>37</v>
      </c>
      <c r="G2" s="10"/>
      <c r="H2" s="11"/>
      <c r="I2" s="255"/>
      <c r="J2" s="132" t="s">
        <v>319</v>
      </c>
      <c r="K2" s="236" t="s">
        <v>40</v>
      </c>
      <c r="L2" s="237" t="s">
        <v>41</v>
      </c>
    </row>
    <row r="3" spans="1:17" x14ac:dyDescent="0.25">
      <c r="A3" s="9" t="s">
        <v>33</v>
      </c>
      <c r="B3" s="10"/>
      <c r="C3" s="10"/>
      <c r="D3" s="11" t="s">
        <v>42</v>
      </c>
      <c r="E3" s="10"/>
      <c r="F3" s="10" t="str">
        <f>+' VV-Example ABC'!F3</f>
        <v>AL</v>
      </c>
      <c r="G3" s="10"/>
      <c r="H3" s="11"/>
      <c r="I3" s="255"/>
      <c r="J3" s="150" t="s">
        <v>43</v>
      </c>
      <c r="K3" s="291">
        <v>0.09</v>
      </c>
      <c r="L3" s="146" t="s">
        <v>320</v>
      </c>
    </row>
    <row r="4" spans="1:17" x14ac:dyDescent="0.25">
      <c r="A4" s="12" t="s">
        <v>39</v>
      </c>
      <c r="B4" s="13"/>
      <c r="C4" s="13"/>
      <c r="D4" s="11"/>
      <c r="E4" s="13"/>
      <c r="F4" s="182" t="str">
        <f>' VV-Example ABC'!F4</f>
        <v>REG</v>
      </c>
      <c r="G4" s="13"/>
      <c r="H4" s="11"/>
      <c r="I4" s="255"/>
      <c r="J4" s="151" t="s">
        <v>44</v>
      </c>
      <c r="K4" s="291">
        <v>0.03</v>
      </c>
      <c r="L4" s="146" t="s">
        <v>321</v>
      </c>
    </row>
    <row r="5" spans="1:17" x14ac:dyDescent="0.25">
      <c r="A5" s="9" t="s">
        <v>14</v>
      </c>
      <c r="B5" s="10"/>
      <c r="C5" s="10"/>
      <c r="D5" s="10"/>
      <c r="E5" s="10"/>
      <c r="F5" s="182" t="str">
        <f>' VV-Example ABC'!F5</f>
        <v>000012345</v>
      </c>
      <c r="G5" s="10"/>
      <c r="H5" s="11"/>
      <c r="I5" s="255"/>
      <c r="J5" s="151" t="s">
        <v>289</v>
      </c>
      <c r="K5" s="292">
        <v>-0.3</v>
      </c>
      <c r="L5" s="133" t="s">
        <v>45</v>
      </c>
    </row>
    <row r="6" spans="1:17" x14ac:dyDescent="0.25">
      <c r="A6" s="9"/>
      <c r="B6" s="10"/>
      <c r="C6" s="10"/>
      <c r="D6" s="10"/>
      <c r="E6" s="10"/>
      <c r="F6" s="52"/>
      <c r="G6" s="10"/>
      <c r="H6" s="11"/>
      <c r="I6" s="255"/>
      <c r="J6" s="150" t="s">
        <v>46</v>
      </c>
      <c r="K6" s="291">
        <v>0.2</v>
      </c>
      <c r="L6" s="152" t="s">
        <v>287</v>
      </c>
    </row>
    <row r="7" spans="1:17" x14ac:dyDescent="0.25">
      <c r="A7" s="9" t="s">
        <v>15</v>
      </c>
      <c r="B7" s="10"/>
      <c r="C7" s="10"/>
      <c r="D7" s="10"/>
      <c r="E7" s="10"/>
      <c r="F7" s="183">
        <f>' VV-Example ABC'!F7</f>
        <v>42767</v>
      </c>
      <c r="G7" s="10"/>
      <c r="H7" s="11"/>
      <c r="I7" s="255"/>
      <c r="J7" s="153" t="s">
        <v>355</v>
      </c>
      <c r="K7" s="293">
        <v>-0.2</v>
      </c>
      <c r="L7" s="368" t="s">
        <v>286</v>
      </c>
    </row>
    <row r="8" spans="1:17" x14ac:dyDescent="0.25">
      <c r="A8" s="9" t="s">
        <v>17</v>
      </c>
      <c r="B8" s="10"/>
      <c r="C8" s="10"/>
      <c r="D8" s="10"/>
      <c r="E8" s="10"/>
      <c r="F8" s="182" t="str">
        <f>' VV-Example ABC'!F8</f>
        <v>01</v>
      </c>
      <c r="G8" s="10"/>
      <c r="H8" s="11"/>
      <c r="I8" s="255"/>
      <c r="J8" s="153" t="s">
        <v>356</v>
      </c>
      <c r="K8" s="293">
        <v>-0.25</v>
      </c>
      <c r="L8" s="369"/>
    </row>
    <row r="9" spans="1:17" x14ac:dyDescent="0.25">
      <c r="A9" s="9" t="s">
        <v>5</v>
      </c>
      <c r="B9" s="10"/>
      <c r="C9" s="10"/>
      <c r="D9" s="10"/>
      <c r="E9" s="10"/>
      <c r="F9" s="183">
        <f>' VV-Example ABC'!F9</f>
        <v>42887</v>
      </c>
      <c r="G9" s="10"/>
      <c r="H9" s="11"/>
      <c r="I9" s="255"/>
      <c r="J9" s="154" t="s">
        <v>357</v>
      </c>
      <c r="K9" s="294">
        <v>-0.35</v>
      </c>
      <c r="L9" s="370"/>
    </row>
    <row r="10" spans="1:17" x14ac:dyDescent="0.25">
      <c r="A10" s="9" t="s">
        <v>16</v>
      </c>
      <c r="B10" s="10"/>
      <c r="C10" s="10"/>
      <c r="D10" s="10"/>
      <c r="E10" s="10"/>
      <c r="F10" s="182" t="str">
        <f>' VV-Example ABC'!F10</f>
        <v>000012345N06201700</v>
      </c>
      <c r="G10" s="10"/>
      <c r="H10" s="11"/>
      <c r="I10" s="255"/>
      <c r="J10" s="155" t="s">
        <v>358</v>
      </c>
      <c r="K10" s="291">
        <v>0.22500000000000001</v>
      </c>
      <c r="L10" s="365" t="s">
        <v>125</v>
      </c>
    </row>
    <row r="11" spans="1:17" x14ac:dyDescent="0.25">
      <c r="A11" s="9" t="s">
        <v>13</v>
      </c>
      <c r="B11" s="10"/>
      <c r="C11" s="10"/>
      <c r="D11" s="10"/>
      <c r="E11" s="10"/>
      <c r="F11" s="183">
        <f>' VV-Example ABC'!F11</f>
        <v>42916</v>
      </c>
      <c r="G11" s="10"/>
      <c r="H11" s="11"/>
      <c r="I11" s="255"/>
      <c r="J11" s="155" t="s">
        <v>359</v>
      </c>
      <c r="K11" s="291">
        <v>0.25</v>
      </c>
      <c r="L11" s="366"/>
    </row>
    <row r="12" spans="1:17" x14ac:dyDescent="0.25">
      <c r="A12" s="9" t="s">
        <v>7</v>
      </c>
      <c r="B12" s="10"/>
      <c r="C12" s="10"/>
      <c r="D12" s="10"/>
      <c r="E12" s="10"/>
      <c r="F12" s="182">
        <f>' VV-Example ABC'!F12</f>
        <v>123456</v>
      </c>
      <c r="G12" s="10"/>
      <c r="H12" s="11"/>
      <c r="I12" s="255"/>
      <c r="J12" s="156" t="s">
        <v>360</v>
      </c>
      <c r="K12" s="295">
        <v>0.35</v>
      </c>
      <c r="L12" s="367"/>
    </row>
    <row r="13" spans="1:17" x14ac:dyDescent="0.25">
      <c r="A13" s="9"/>
      <c r="B13" s="10"/>
      <c r="C13" s="10"/>
      <c r="D13" s="10"/>
      <c r="E13" s="10"/>
      <c r="F13" s="184"/>
      <c r="G13" s="10"/>
      <c r="H13" s="11"/>
      <c r="I13" s="255"/>
      <c r="J13" s="157" t="s">
        <v>48</v>
      </c>
      <c r="K13" s="296">
        <v>39264</v>
      </c>
      <c r="L13" s="158" t="s">
        <v>49</v>
      </c>
    </row>
    <row r="14" spans="1:17" ht="13.8" x14ac:dyDescent="0.3">
      <c r="A14" s="283" t="s">
        <v>534</v>
      </c>
      <c r="B14" s="283"/>
      <c r="C14" s="283"/>
      <c r="D14" s="283"/>
      <c r="E14" s="283"/>
      <c r="F14" s="278">
        <v>40969</v>
      </c>
      <c r="G14" s="10"/>
      <c r="H14" s="11"/>
      <c r="I14" s="255"/>
      <c r="J14" s="159" t="s">
        <v>351</v>
      </c>
      <c r="K14" s="297">
        <v>41640</v>
      </c>
      <c r="L14" s="158" t="s">
        <v>354</v>
      </c>
    </row>
    <row r="15" spans="1:17" x14ac:dyDescent="0.25">
      <c r="A15" s="9"/>
      <c r="B15" s="10"/>
      <c r="C15" s="10"/>
      <c r="D15" s="10"/>
      <c r="E15" s="10"/>
      <c r="F15" s="184"/>
      <c r="G15" s="10"/>
      <c r="H15" s="11"/>
      <c r="I15" s="255"/>
      <c r="J15" s="286" t="s">
        <v>540</v>
      </c>
      <c r="K15" s="298">
        <v>42736</v>
      </c>
      <c r="L15" s="304" t="s">
        <v>541</v>
      </c>
    </row>
    <row r="16" spans="1:17" x14ac:dyDescent="0.25">
      <c r="A16" s="9"/>
      <c r="B16" s="10"/>
      <c r="C16" s="10"/>
      <c r="D16" s="10"/>
      <c r="E16" s="10"/>
      <c r="F16" s="184"/>
      <c r="G16" s="10"/>
      <c r="H16" s="11"/>
      <c r="I16" s="255"/>
      <c r="J16" s="160" t="s">
        <v>439</v>
      </c>
      <c r="K16" s="295">
        <v>0.2</v>
      </c>
      <c r="L16" s="158" t="s">
        <v>438</v>
      </c>
    </row>
    <row r="17" spans="1:12" x14ac:dyDescent="0.25">
      <c r="A17" s="9"/>
      <c r="B17" s="10"/>
      <c r="C17" s="10"/>
      <c r="D17" s="10"/>
      <c r="E17" s="10"/>
      <c r="F17" s="184"/>
      <c r="G17" s="10"/>
      <c r="H17" s="11"/>
      <c r="I17" s="255"/>
      <c r="J17" s="150" t="s">
        <v>361</v>
      </c>
      <c r="K17" s="299">
        <v>40</v>
      </c>
      <c r="L17" s="382" t="s">
        <v>116</v>
      </c>
    </row>
    <row r="18" spans="1:12" x14ac:dyDescent="0.25">
      <c r="A18" s="9"/>
      <c r="B18" s="10"/>
      <c r="C18" s="10"/>
      <c r="D18" s="10"/>
      <c r="E18" s="10"/>
      <c r="F18" s="184"/>
      <c r="G18" s="10"/>
      <c r="H18" s="11"/>
      <c r="I18" s="255"/>
      <c r="J18" s="150" t="s">
        <v>362</v>
      </c>
      <c r="K18" s="299">
        <v>30</v>
      </c>
      <c r="L18" s="382"/>
    </row>
    <row r="19" spans="1:12" x14ac:dyDescent="0.25">
      <c r="A19" s="9" t="s">
        <v>22</v>
      </c>
      <c r="B19" s="10"/>
      <c r="C19" s="10"/>
      <c r="D19" s="10"/>
      <c r="E19" s="10"/>
      <c r="F19" s="182" t="str">
        <f>' VV-Example ABC'!F19</f>
        <v>XYZ Company</v>
      </c>
      <c r="G19" s="10"/>
      <c r="H19" s="11"/>
      <c r="I19" s="255"/>
      <c r="J19" s="150" t="s">
        <v>363</v>
      </c>
      <c r="K19" s="291">
        <v>2.5000000000000001E-3</v>
      </c>
      <c r="L19" s="383" t="s">
        <v>118</v>
      </c>
    </row>
    <row r="20" spans="1:12" x14ac:dyDescent="0.25">
      <c r="A20" s="9"/>
      <c r="B20" s="10"/>
      <c r="C20" s="10"/>
      <c r="D20" s="10"/>
      <c r="E20" s="10"/>
      <c r="F20" s="182"/>
      <c r="G20" s="10"/>
      <c r="H20" s="11"/>
      <c r="I20" s="255"/>
      <c r="J20" s="150" t="s">
        <v>364</v>
      </c>
      <c r="K20" s="291">
        <v>4.0000000000000001E-3</v>
      </c>
      <c r="L20" s="383"/>
    </row>
    <row r="21" spans="1:12" x14ac:dyDescent="0.25">
      <c r="A21" s="9" t="s">
        <v>0</v>
      </c>
      <c r="B21" s="10"/>
      <c r="C21" s="10"/>
      <c r="D21" s="10"/>
      <c r="E21" s="10"/>
      <c r="F21" s="182" t="str">
        <f>' VV-Example ABC'!F21</f>
        <v>Enter Data</v>
      </c>
      <c r="G21" s="10"/>
      <c r="H21" s="11"/>
      <c r="I21" s="255"/>
      <c r="J21" s="150" t="s">
        <v>365</v>
      </c>
      <c r="K21" s="299">
        <v>92.5</v>
      </c>
      <c r="L21" s="133" t="s">
        <v>50</v>
      </c>
    </row>
    <row r="22" spans="1:12" x14ac:dyDescent="0.25">
      <c r="A22" s="9" t="s">
        <v>1</v>
      </c>
      <c r="B22" s="10"/>
      <c r="C22" s="10"/>
      <c r="D22" s="10"/>
      <c r="E22" s="10"/>
      <c r="F22" s="182" t="str">
        <f>' VV-Example ABC'!F22</f>
        <v>Enter Data</v>
      </c>
      <c r="G22" s="10"/>
      <c r="H22" s="11"/>
      <c r="I22" s="255"/>
      <c r="J22" s="150" t="s">
        <v>366</v>
      </c>
      <c r="K22" s="291">
        <v>1E-3</v>
      </c>
      <c r="L22" s="161" t="s">
        <v>51</v>
      </c>
    </row>
    <row r="23" spans="1:12" x14ac:dyDescent="0.25">
      <c r="A23" s="9" t="s">
        <v>2</v>
      </c>
      <c r="B23" s="10"/>
      <c r="C23" s="10"/>
      <c r="D23" s="10"/>
      <c r="E23" s="10"/>
      <c r="F23" s="182" t="str">
        <f>' VV-Example ABC'!F23</f>
        <v>Enter Data</v>
      </c>
      <c r="G23" s="10"/>
      <c r="H23" s="11"/>
      <c r="I23" s="255"/>
      <c r="J23" s="162" t="s">
        <v>367</v>
      </c>
      <c r="K23" s="291">
        <v>0.25</v>
      </c>
      <c r="L23" s="371" t="s">
        <v>282</v>
      </c>
    </row>
    <row r="24" spans="1:12" x14ac:dyDescent="0.25">
      <c r="A24" s="9" t="s">
        <v>3</v>
      </c>
      <c r="B24" s="10"/>
      <c r="C24" s="10"/>
      <c r="D24" s="10"/>
      <c r="E24" s="10"/>
      <c r="F24" s="182" t="str">
        <f>' VV-Example ABC'!F24</f>
        <v>Enter Data</v>
      </c>
      <c r="G24" s="10"/>
      <c r="H24" s="11"/>
      <c r="I24" s="255"/>
      <c r="J24" s="151" t="s">
        <v>368</v>
      </c>
      <c r="K24" s="291">
        <v>0.5</v>
      </c>
      <c r="L24" s="371"/>
    </row>
    <row r="25" spans="1:12" x14ac:dyDescent="0.25">
      <c r="A25" s="9" t="s">
        <v>4</v>
      </c>
      <c r="B25" s="10"/>
      <c r="C25" s="10"/>
      <c r="D25" s="10"/>
      <c r="E25" s="10"/>
      <c r="F25" s="182" t="str">
        <f>' VV-Example ABC'!F25</f>
        <v>Enter Data</v>
      </c>
      <c r="G25" s="10"/>
      <c r="H25" s="11"/>
      <c r="I25" s="255"/>
      <c r="J25" s="171" t="s">
        <v>476</v>
      </c>
      <c r="K25" s="300">
        <v>-5</v>
      </c>
      <c r="L25" s="133" t="s">
        <v>445</v>
      </c>
    </row>
    <row r="26" spans="1:12" x14ac:dyDescent="0.25">
      <c r="A26" s="9" t="s">
        <v>6</v>
      </c>
      <c r="B26" s="10"/>
      <c r="C26" s="10"/>
      <c r="D26" s="10"/>
      <c r="E26" s="10"/>
      <c r="F26" s="182" t="str">
        <f>' VV-Example ABC'!F26</f>
        <v>Enter Data</v>
      </c>
      <c r="G26" s="10"/>
      <c r="H26" s="11"/>
      <c r="I26" s="255"/>
      <c r="J26" s="163" t="s">
        <v>52</v>
      </c>
      <c r="K26" s="137">
        <v>1.03</v>
      </c>
      <c r="L26" s="134" t="s">
        <v>53</v>
      </c>
    </row>
    <row r="27" spans="1:12" x14ac:dyDescent="0.25">
      <c r="A27" s="9" t="s">
        <v>8</v>
      </c>
      <c r="B27" s="10"/>
      <c r="C27" s="10"/>
      <c r="D27" s="10"/>
      <c r="E27" s="10"/>
      <c r="F27" s="182" t="str">
        <f>' VV-Example ABC'!F27</f>
        <v>Enter Data</v>
      </c>
      <c r="G27" s="10"/>
      <c r="H27" s="11"/>
      <c r="I27" s="255"/>
      <c r="J27" s="163" t="s">
        <v>54</v>
      </c>
      <c r="K27" s="137">
        <f>1.03*Adjustment_Factor_2007</f>
        <v>1.0609</v>
      </c>
      <c r="L27" s="134" t="s">
        <v>55</v>
      </c>
    </row>
    <row r="28" spans="1:12" x14ac:dyDescent="0.25">
      <c r="A28" s="9" t="s">
        <v>9</v>
      </c>
      <c r="B28" s="10"/>
      <c r="C28" s="10"/>
      <c r="D28" s="10"/>
      <c r="E28" s="10"/>
      <c r="F28" s="182" t="str">
        <f>' VV-Example ABC'!F28</f>
        <v>Enter Data</v>
      </c>
      <c r="G28" s="10"/>
      <c r="H28" s="11"/>
      <c r="I28" s="255"/>
      <c r="J28" s="164" t="s">
        <v>56</v>
      </c>
      <c r="K28" s="137">
        <f>1.03*K27</f>
        <v>1.092727</v>
      </c>
      <c r="L28" s="134" t="s">
        <v>57</v>
      </c>
    </row>
    <row r="29" spans="1:12" x14ac:dyDescent="0.25">
      <c r="A29" s="9" t="s">
        <v>12</v>
      </c>
      <c r="B29" s="10"/>
      <c r="C29" s="10"/>
      <c r="D29" s="10"/>
      <c r="E29" s="10"/>
      <c r="F29" s="182" t="str">
        <f>' VV-Example ABC'!F29</f>
        <v>Enter Data</v>
      </c>
      <c r="G29" s="10"/>
      <c r="H29" s="11"/>
      <c r="I29" s="255"/>
      <c r="J29" s="163" t="s">
        <v>58</v>
      </c>
      <c r="K29" s="138">
        <v>39083</v>
      </c>
      <c r="L29" s="135" t="s">
        <v>59</v>
      </c>
    </row>
    <row r="30" spans="1:12" x14ac:dyDescent="0.25">
      <c r="A30" s="9" t="s">
        <v>18</v>
      </c>
      <c r="B30" s="10"/>
      <c r="C30" s="10"/>
      <c r="D30" s="10"/>
      <c r="E30" s="10"/>
      <c r="F30" s="182" t="str">
        <f>' VV-Example ABC'!F30</f>
        <v>Enter Data</v>
      </c>
      <c r="G30" s="10"/>
      <c r="H30" s="11"/>
      <c r="I30" s="255"/>
      <c r="J30" s="163" t="s">
        <v>60</v>
      </c>
      <c r="K30" s="138">
        <v>39448</v>
      </c>
      <c r="L30" s="135" t="s">
        <v>61</v>
      </c>
    </row>
    <row r="31" spans="1:12" x14ac:dyDescent="0.25">
      <c r="A31" s="9" t="s">
        <v>10</v>
      </c>
      <c r="B31" s="10"/>
      <c r="C31" s="10"/>
      <c r="D31" s="10"/>
      <c r="E31" s="10"/>
      <c r="F31" s="182" t="str">
        <f>' VV-Example ABC'!F31</f>
        <v>Enter Data</v>
      </c>
      <c r="G31" s="10"/>
      <c r="H31" s="11"/>
      <c r="I31" s="255"/>
      <c r="J31" s="163" t="s">
        <v>62</v>
      </c>
      <c r="K31" s="138">
        <v>39814</v>
      </c>
      <c r="L31" s="135" t="s">
        <v>63</v>
      </c>
    </row>
    <row r="32" spans="1:12" ht="13.8" thickBot="1" x14ac:dyDescent="0.3">
      <c r="A32" s="9" t="s">
        <v>11</v>
      </c>
      <c r="B32" s="10"/>
      <c r="C32" s="10"/>
      <c r="D32" s="10"/>
      <c r="E32" s="10"/>
      <c r="F32" s="182" t="str">
        <f>' VV-Example ABC'!F32</f>
        <v>Enter Data</v>
      </c>
      <c r="G32" s="10"/>
      <c r="H32" s="11"/>
      <c r="I32" s="255"/>
      <c r="J32" s="165" t="s">
        <v>64</v>
      </c>
      <c r="K32" s="139">
        <v>40179</v>
      </c>
      <c r="L32" s="136" t="s">
        <v>65</v>
      </c>
    </row>
    <row r="33" spans="1:15" ht="25.5" customHeight="1" thickBot="1" x14ac:dyDescent="0.3">
      <c r="A33" s="216" t="s">
        <v>19</v>
      </c>
      <c r="B33" s="216" t="s">
        <v>511</v>
      </c>
      <c r="C33" s="216" t="s">
        <v>24</v>
      </c>
      <c r="D33" s="216" t="s">
        <v>20</v>
      </c>
      <c r="E33" s="216" t="s">
        <v>30</v>
      </c>
      <c r="F33" s="216" t="s">
        <v>31</v>
      </c>
      <c r="G33" s="216" t="s">
        <v>25</v>
      </c>
      <c r="H33" s="216" t="s">
        <v>21</v>
      </c>
      <c r="I33" s="216" t="s">
        <v>66</v>
      </c>
      <c r="J33" s="374" t="s">
        <v>345</v>
      </c>
      <c r="K33" s="375"/>
      <c r="L33" s="216" t="s">
        <v>67</v>
      </c>
    </row>
    <row r="34" spans="1:15" ht="25.5" customHeight="1" thickBot="1" x14ac:dyDescent="0.35">
      <c r="A34" s="73">
        <f>1</f>
        <v>1</v>
      </c>
      <c r="B34" s="77" t="s">
        <v>318</v>
      </c>
      <c r="C34" s="77" t="s">
        <v>37</v>
      </c>
      <c r="D34" s="77" t="s">
        <v>83</v>
      </c>
      <c r="E34" s="252"/>
      <c r="F34" s="213">
        <v>2</v>
      </c>
      <c r="G34" s="256"/>
      <c r="H34" s="252"/>
      <c r="I34" s="82" t="s">
        <v>338</v>
      </c>
      <c r="J34" s="380" t="s">
        <v>143</v>
      </c>
      <c r="K34" s="381"/>
      <c r="L34" s="75" t="s">
        <v>84</v>
      </c>
      <c r="M34" s="169" t="s">
        <v>297</v>
      </c>
      <c r="N34" s="257" t="s">
        <v>421</v>
      </c>
    </row>
    <row r="35" spans="1:15" ht="36" customHeight="1" x14ac:dyDescent="0.3">
      <c r="A35" s="73">
        <f t="shared" ref="A35:A41" si="0">A34+1</f>
        <v>2</v>
      </c>
      <c r="B35" s="77" t="s">
        <v>318</v>
      </c>
      <c r="C35" s="73" t="s">
        <v>37</v>
      </c>
      <c r="D35" s="83" t="s">
        <v>85</v>
      </c>
      <c r="E35" s="252"/>
      <c r="F35" s="105"/>
      <c r="G35" s="105"/>
      <c r="H35" s="214">
        <v>0</v>
      </c>
      <c r="I35" s="82" t="s">
        <v>322</v>
      </c>
      <c r="J35" s="372" t="s">
        <v>378</v>
      </c>
      <c r="K35" s="373"/>
      <c r="L35" s="75" t="s">
        <v>333</v>
      </c>
      <c r="M35" s="5"/>
      <c r="N35" s="5"/>
    </row>
    <row r="36" spans="1:15" ht="23.25" customHeight="1" x14ac:dyDescent="0.3">
      <c r="A36" s="73">
        <f t="shared" si="0"/>
        <v>3</v>
      </c>
      <c r="B36" s="77" t="s">
        <v>294</v>
      </c>
      <c r="C36" s="73" t="s">
        <v>37</v>
      </c>
      <c r="D36" s="73" t="s">
        <v>141</v>
      </c>
      <c r="E36" s="252"/>
      <c r="F36" s="213">
        <v>54.3</v>
      </c>
      <c r="G36" s="256"/>
      <c r="H36" s="252"/>
      <c r="I36" s="108" t="s">
        <v>142</v>
      </c>
      <c r="J36" s="376" t="s">
        <v>342</v>
      </c>
      <c r="K36" s="377"/>
      <c r="L36" s="75" t="s">
        <v>330</v>
      </c>
      <c r="M36" s="5"/>
      <c r="N36" s="5"/>
    </row>
    <row r="37" spans="1:15" ht="30.75" customHeight="1" thickBot="1" x14ac:dyDescent="0.35">
      <c r="A37" s="73">
        <f t="shared" si="0"/>
        <v>4</v>
      </c>
      <c r="B37" s="77" t="s">
        <v>148</v>
      </c>
      <c r="C37" s="73" t="s">
        <v>37</v>
      </c>
      <c r="D37" s="121" t="s">
        <v>151</v>
      </c>
      <c r="E37" s="215">
        <v>90000.25</v>
      </c>
      <c r="F37" s="105"/>
      <c r="G37" s="105"/>
      <c r="H37" s="252"/>
      <c r="I37" s="124" t="s">
        <v>525</v>
      </c>
      <c r="J37" s="340" t="s">
        <v>143</v>
      </c>
      <c r="K37" s="341"/>
      <c r="L37" s="127" t="s">
        <v>331</v>
      </c>
      <c r="M37" s="5"/>
      <c r="N37" s="62"/>
      <c r="O37" s="21"/>
    </row>
    <row r="38" spans="1:15" ht="31.5" customHeight="1" thickBot="1" x14ac:dyDescent="0.35">
      <c r="A38" s="73">
        <f t="shared" si="0"/>
        <v>5</v>
      </c>
      <c r="B38" s="73" t="s">
        <v>318</v>
      </c>
      <c r="C38" s="73" t="s">
        <v>37</v>
      </c>
      <c r="D38" s="285" t="s">
        <v>537</v>
      </c>
      <c r="E38" s="252"/>
      <c r="F38" s="213">
        <v>1</v>
      </c>
      <c r="G38" s="105"/>
      <c r="H38" s="86"/>
      <c r="I38" s="288" t="s">
        <v>538</v>
      </c>
      <c r="J38" s="340" t="s">
        <v>143</v>
      </c>
      <c r="K38" s="341"/>
      <c r="L38" s="88" t="s">
        <v>539</v>
      </c>
      <c r="M38" s="169" t="s">
        <v>101</v>
      </c>
      <c r="N38" s="258" t="s">
        <v>307</v>
      </c>
    </row>
    <row r="39" spans="1:15" ht="30.75" customHeight="1" x14ac:dyDescent="0.3">
      <c r="A39" s="73">
        <f>A38+1</f>
        <v>6</v>
      </c>
      <c r="B39" s="73" t="s">
        <v>318</v>
      </c>
      <c r="C39" s="73" t="s">
        <v>68</v>
      </c>
      <c r="D39" s="243" t="s">
        <v>70</v>
      </c>
      <c r="E39" s="252"/>
      <c r="F39" s="105"/>
      <c r="G39" s="105"/>
      <c r="H39" s="76">
        <f>ROUND(- (' VV-Example ABC'!E34 * ' VV-Example ABC'!F52 + ' VV-Example ABC'!G53) - (' VV-Example ABC'!E61 * ' VV-Example ABC'!F70 + ' VV-Example ABC'!G71+' VV-Example DEF'!E34*' VV-Example DEF'!F52+' VV-Example DEF'!G53+' VV-Example DEF'!E61*' VV-Example DEF'!F70+' VV-Example DEF'!G71),2)</f>
        <v>-40426600.740000002</v>
      </c>
      <c r="I39" s="89" t="s">
        <v>399</v>
      </c>
      <c r="J39" s="364" t="s">
        <v>462</v>
      </c>
      <c r="K39" s="384"/>
      <c r="L39" s="75" t="s">
        <v>115</v>
      </c>
    </row>
    <row r="40" spans="1:15" ht="16.5" customHeight="1" x14ac:dyDescent="0.3">
      <c r="A40" s="73">
        <f t="shared" si="0"/>
        <v>7</v>
      </c>
      <c r="B40" s="73" t="s">
        <v>318</v>
      </c>
      <c r="C40" s="73" t="s">
        <v>68</v>
      </c>
      <c r="D40" s="77" t="s">
        <v>71</v>
      </c>
      <c r="E40" s="252"/>
      <c r="F40" s="105"/>
      <c r="G40" s="105"/>
      <c r="H40" s="79">
        <f>'AC-Example'!$F80</f>
        <v>5951.2199999999993</v>
      </c>
      <c r="I40" s="78" t="s">
        <v>72</v>
      </c>
      <c r="J40" s="356" t="s">
        <v>34</v>
      </c>
      <c r="K40" s="357"/>
      <c r="L40" s="75" t="s">
        <v>333</v>
      </c>
      <c r="M40" s="5"/>
      <c r="N40" s="62"/>
    </row>
    <row r="41" spans="1:15" ht="13.8" x14ac:dyDescent="0.3">
      <c r="A41" s="73">
        <f t="shared" si="0"/>
        <v>8</v>
      </c>
      <c r="B41" s="73" t="s">
        <v>318</v>
      </c>
      <c r="C41" s="73" t="s">
        <v>68</v>
      </c>
      <c r="D41" s="77" t="s">
        <v>185</v>
      </c>
      <c r="E41" s="252"/>
      <c r="F41" s="105"/>
      <c r="G41" s="80">
        <f>'AC-Example'!E81</f>
        <v>0.09</v>
      </c>
      <c r="I41" s="78" t="s">
        <v>285</v>
      </c>
      <c r="J41" s="356" t="s">
        <v>34</v>
      </c>
      <c r="K41" s="357"/>
      <c r="L41" s="75" t="s">
        <v>333</v>
      </c>
      <c r="M41" s="5"/>
      <c r="N41" s="62"/>
    </row>
    <row r="42" spans="1:15" ht="13.8" x14ac:dyDescent="0.3">
      <c r="A42" s="73">
        <f t="shared" ref="A42:A103" si="1">A41+1</f>
        <v>9</v>
      </c>
      <c r="B42" s="73" t="s">
        <v>318</v>
      </c>
      <c r="C42" s="73" t="s">
        <v>68</v>
      </c>
      <c r="D42" s="77" t="s">
        <v>73</v>
      </c>
      <c r="E42" s="252"/>
      <c r="F42" s="105"/>
      <c r="G42" s="105"/>
      <c r="H42" s="79">
        <f>'AC-Example'!$F82</f>
        <v>535.61</v>
      </c>
      <c r="I42" s="78" t="s">
        <v>74</v>
      </c>
      <c r="J42" s="356" t="s">
        <v>34</v>
      </c>
      <c r="K42" s="357"/>
      <c r="L42" s="75" t="s">
        <v>333</v>
      </c>
      <c r="M42" s="5"/>
      <c r="N42" s="62"/>
    </row>
    <row r="43" spans="1:15" ht="13.8" x14ac:dyDescent="0.3">
      <c r="A43" s="73">
        <f t="shared" si="1"/>
        <v>10</v>
      </c>
      <c r="B43" s="73" t="s">
        <v>318</v>
      </c>
      <c r="C43" s="73" t="s">
        <v>68</v>
      </c>
      <c r="D43" s="77" t="s">
        <v>75</v>
      </c>
      <c r="E43" s="252"/>
      <c r="F43" s="105"/>
      <c r="G43" s="105"/>
      <c r="H43" s="79">
        <f>'AC-Example'!$F87+'AC-Example'!F88</f>
        <v>1675.88</v>
      </c>
      <c r="I43" s="78" t="s">
        <v>76</v>
      </c>
      <c r="J43" s="356" t="s">
        <v>34</v>
      </c>
      <c r="K43" s="357"/>
      <c r="L43" s="75" t="s">
        <v>333</v>
      </c>
      <c r="M43" s="5"/>
      <c r="N43" s="62"/>
    </row>
    <row r="44" spans="1:15" ht="13.8" x14ac:dyDescent="0.3">
      <c r="A44" s="73">
        <f t="shared" si="1"/>
        <v>11</v>
      </c>
      <c r="B44" s="73" t="s">
        <v>318</v>
      </c>
      <c r="C44" s="73" t="s">
        <v>68</v>
      </c>
      <c r="D44" s="77" t="s">
        <v>77</v>
      </c>
      <c r="E44" s="252"/>
      <c r="F44" s="105"/>
      <c r="G44" s="105"/>
      <c r="H44" s="79">
        <f>'AC-Example'!$F89+'AC-Example'!F90</f>
        <v>8200.119999999999</v>
      </c>
      <c r="I44" s="81" t="s">
        <v>78</v>
      </c>
      <c r="J44" s="356" t="s">
        <v>34</v>
      </c>
      <c r="K44" s="357"/>
      <c r="L44" s="75" t="s">
        <v>333</v>
      </c>
      <c r="M44" s="5"/>
      <c r="N44" s="62"/>
    </row>
    <row r="45" spans="1:15" ht="13.8" x14ac:dyDescent="0.3">
      <c r="A45" s="73">
        <f t="shared" si="1"/>
        <v>12</v>
      </c>
      <c r="B45" s="73" t="s">
        <v>318</v>
      </c>
      <c r="C45" s="73" t="s">
        <v>68</v>
      </c>
      <c r="D45" s="77" t="s">
        <v>79</v>
      </c>
      <c r="E45" s="252"/>
      <c r="F45" s="105"/>
      <c r="G45" s="105"/>
      <c r="H45" s="76">
        <f>'AC-Example'!$F91</f>
        <v>0</v>
      </c>
      <c r="I45" s="78" t="s">
        <v>80</v>
      </c>
      <c r="J45" s="356" t="s">
        <v>34</v>
      </c>
      <c r="K45" s="357"/>
      <c r="L45" s="75" t="s">
        <v>333</v>
      </c>
      <c r="M45" s="5"/>
      <c r="N45" s="62"/>
    </row>
    <row r="46" spans="1:15" ht="13.8" x14ac:dyDescent="0.3">
      <c r="A46" s="73">
        <f t="shared" si="1"/>
        <v>13</v>
      </c>
      <c r="B46" s="73" t="s">
        <v>318</v>
      </c>
      <c r="C46" s="73" t="s">
        <v>68</v>
      </c>
      <c r="D46" s="77" t="s">
        <v>81</v>
      </c>
      <c r="E46" s="252"/>
      <c r="F46" s="105"/>
      <c r="G46" s="105"/>
      <c r="H46" s="79">
        <f>'AC-Example'!$F93+'AC-Example'!F94</f>
        <v>5052337.84</v>
      </c>
      <c r="I46" s="82" t="s">
        <v>82</v>
      </c>
      <c r="J46" s="356" t="s">
        <v>34</v>
      </c>
      <c r="K46" s="357"/>
      <c r="L46" s="75" t="s">
        <v>334</v>
      </c>
      <c r="M46" s="5"/>
      <c r="N46" s="62"/>
    </row>
    <row r="47" spans="1:15" ht="31.5" customHeight="1" x14ac:dyDescent="0.3">
      <c r="A47" s="73">
        <f>A46+1</f>
        <v>14</v>
      </c>
      <c r="B47" s="73" t="s">
        <v>318</v>
      </c>
      <c r="C47" s="73" t="s">
        <v>37</v>
      </c>
      <c r="D47" s="77" t="s">
        <v>86</v>
      </c>
      <c r="E47" s="252"/>
      <c r="F47" s="105"/>
      <c r="G47" s="105"/>
      <c r="H47" s="86">
        <f>ROUND(IF(AND(F34=1,PDMO&gt;=Start_date_for_adjustment_2007,PDMO&lt;End_date_for_cap),IF(PDMO&lt;Start_date_for_2nd_year_of_adjustment_2008,(H35/9)*Adjustment_Factor_2007,IF(PDMO&lt;Start_date_for_3nd_year_of_adjustment_2009,(H35/9)*$K$27,(H35/9)*Adjustment_Factor_2009)),H40+SUM(H42:H45)),2)</f>
        <v>16362.83</v>
      </c>
      <c r="I47" s="85" t="s">
        <v>87</v>
      </c>
      <c r="J47" s="378" t="s">
        <v>377</v>
      </c>
      <c r="K47" s="379"/>
      <c r="L47" s="75" t="s">
        <v>333</v>
      </c>
      <c r="M47" s="5"/>
      <c r="N47" s="62"/>
    </row>
    <row r="48" spans="1:15" ht="13.8" x14ac:dyDescent="0.3">
      <c r="A48" s="73">
        <f t="shared" si="1"/>
        <v>15</v>
      </c>
      <c r="B48" s="73" t="s">
        <v>318</v>
      </c>
      <c r="C48" s="73" t="s">
        <v>88</v>
      </c>
      <c r="D48" s="84" t="s">
        <v>71</v>
      </c>
      <c r="E48" s="252"/>
      <c r="F48" s="105"/>
      <c r="G48" s="105"/>
      <c r="H48" s="79">
        <f>'AC-Example'!$F44</f>
        <v>3800001.45</v>
      </c>
      <c r="I48" s="87" t="s">
        <v>72</v>
      </c>
      <c r="J48" s="356" t="s">
        <v>34</v>
      </c>
      <c r="K48" s="357"/>
      <c r="L48" s="88" t="s">
        <v>298</v>
      </c>
      <c r="M48" s="5"/>
      <c r="N48" s="62"/>
    </row>
    <row r="49" spans="1:21" ht="13.8" x14ac:dyDescent="0.3">
      <c r="A49" s="73">
        <f t="shared" si="1"/>
        <v>16</v>
      </c>
      <c r="B49" s="73" t="s">
        <v>318</v>
      </c>
      <c r="C49" s="73" t="s">
        <v>88</v>
      </c>
      <c r="D49" s="84" t="s">
        <v>185</v>
      </c>
      <c r="E49" s="252"/>
      <c r="F49" s="105"/>
      <c r="G49" s="80">
        <f>'AC-Example'!E45</f>
        <v>0.03</v>
      </c>
      <c r="I49" s="89" t="s">
        <v>284</v>
      </c>
      <c r="J49" s="356" t="s">
        <v>34</v>
      </c>
      <c r="K49" s="357"/>
      <c r="L49" s="88" t="s">
        <v>298</v>
      </c>
      <c r="M49" s="5"/>
      <c r="N49" s="62"/>
    </row>
    <row r="50" spans="1:21" ht="13.8" x14ac:dyDescent="0.3">
      <c r="A50" s="73">
        <f t="shared" si="1"/>
        <v>17</v>
      </c>
      <c r="B50" s="73" t="s">
        <v>318</v>
      </c>
      <c r="C50" s="73" t="s">
        <v>88</v>
      </c>
      <c r="D50" s="84" t="s">
        <v>73</v>
      </c>
      <c r="E50" s="252"/>
      <c r="F50" s="105"/>
      <c r="G50" s="105"/>
      <c r="H50" s="90">
        <f>+'AC-Example'!F46</f>
        <v>114000.04</v>
      </c>
      <c r="I50" s="89" t="s">
        <v>89</v>
      </c>
      <c r="J50" s="356" t="s">
        <v>34</v>
      </c>
      <c r="K50" s="357"/>
      <c r="L50" s="88" t="s">
        <v>298</v>
      </c>
      <c r="M50" s="5"/>
      <c r="N50" s="62"/>
    </row>
    <row r="51" spans="1:21" ht="13.8" x14ac:dyDescent="0.3">
      <c r="A51" s="73">
        <f t="shared" si="1"/>
        <v>18</v>
      </c>
      <c r="B51" s="73" t="s">
        <v>318</v>
      </c>
      <c r="C51" s="73" t="s">
        <v>88</v>
      </c>
      <c r="D51" s="84" t="s">
        <v>90</v>
      </c>
      <c r="E51" s="252"/>
      <c r="F51" s="105"/>
      <c r="G51" s="105"/>
      <c r="H51" s="91">
        <f>'AC-Example'!F50+'AC-Example'!F51</f>
        <v>0</v>
      </c>
      <c r="I51" s="89" t="s">
        <v>91</v>
      </c>
      <c r="J51" s="356" t="s">
        <v>34</v>
      </c>
      <c r="K51" s="357"/>
      <c r="L51" s="88" t="s">
        <v>298</v>
      </c>
      <c r="M51" s="5"/>
      <c r="N51" s="62"/>
    </row>
    <row r="52" spans="1:21" ht="13.8" x14ac:dyDescent="0.3">
      <c r="A52" s="73">
        <f t="shared" si="1"/>
        <v>19</v>
      </c>
      <c r="B52" s="73" t="s">
        <v>318</v>
      </c>
      <c r="C52" s="73" t="s">
        <v>37</v>
      </c>
      <c r="D52" s="84" t="s">
        <v>45</v>
      </c>
      <c r="E52" s="252"/>
      <c r="F52" s="268">
        <f>Capital_Exclusion_Cents_Per_BOE</f>
        <v>-0.3</v>
      </c>
      <c r="G52" s="105"/>
      <c r="I52" s="89" t="s">
        <v>289</v>
      </c>
      <c r="J52" s="356" t="s">
        <v>347</v>
      </c>
      <c r="K52" s="357"/>
      <c r="L52" s="88" t="s">
        <v>298</v>
      </c>
      <c r="M52" s="5"/>
      <c r="N52" s="62"/>
    </row>
    <row r="53" spans="1:21" ht="13.8" x14ac:dyDescent="0.3">
      <c r="A53" s="73">
        <f t="shared" si="1"/>
        <v>20</v>
      </c>
      <c r="B53" s="77" t="s">
        <v>318</v>
      </c>
      <c r="C53" s="77" t="s">
        <v>37</v>
      </c>
      <c r="D53" s="107" t="s">
        <v>92</v>
      </c>
      <c r="E53" s="252"/>
      <c r="F53" s="105"/>
      <c r="G53" s="105"/>
      <c r="H53" s="91">
        <f>ROUND(Capital_Exclusion_Cents_Per_BOE*E62,2)</f>
        <v>-236358.82</v>
      </c>
      <c r="I53" s="89" t="s">
        <v>93</v>
      </c>
      <c r="J53" s="356" t="s">
        <v>329</v>
      </c>
      <c r="K53" s="357"/>
      <c r="L53" s="88" t="s">
        <v>298</v>
      </c>
      <c r="M53" s="5"/>
      <c r="N53" s="62"/>
    </row>
    <row r="54" spans="1:21" ht="13.8" x14ac:dyDescent="0.3">
      <c r="A54" s="73">
        <f t="shared" si="1"/>
        <v>21</v>
      </c>
      <c r="B54" s="73" t="s">
        <v>318</v>
      </c>
      <c r="C54" s="73" t="s">
        <v>37</v>
      </c>
      <c r="D54" s="73" t="s">
        <v>94</v>
      </c>
      <c r="E54" s="252"/>
      <c r="F54" s="105"/>
      <c r="G54" s="105"/>
      <c r="H54" s="86">
        <f>H48+H51+H53</f>
        <v>3563642.6300000004</v>
      </c>
      <c r="I54" s="74" t="s">
        <v>316</v>
      </c>
      <c r="J54" s="356" t="s">
        <v>523</v>
      </c>
      <c r="K54" s="357"/>
      <c r="L54" s="88" t="s">
        <v>298</v>
      </c>
      <c r="M54" s="5"/>
      <c r="N54" s="62"/>
    </row>
    <row r="55" spans="1:21" ht="13.8" x14ac:dyDescent="0.3">
      <c r="A55" s="73">
        <f t="shared" si="1"/>
        <v>22</v>
      </c>
      <c r="B55" s="73" t="s">
        <v>318</v>
      </c>
      <c r="C55" s="73" t="s">
        <v>88</v>
      </c>
      <c r="D55" s="73" t="s">
        <v>95</v>
      </c>
      <c r="E55" s="252"/>
      <c r="F55" s="105"/>
      <c r="G55" s="105"/>
      <c r="H55" s="86">
        <f>'AC-Example'!F55</f>
        <v>864000.12</v>
      </c>
      <c r="I55" s="89" t="s">
        <v>96</v>
      </c>
      <c r="J55" s="356" t="s">
        <v>34</v>
      </c>
      <c r="K55" s="357"/>
      <c r="L55" s="88" t="s">
        <v>299</v>
      </c>
      <c r="M55" s="5"/>
      <c r="N55" s="62"/>
    </row>
    <row r="56" spans="1:21" ht="27.6" x14ac:dyDescent="0.3">
      <c r="A56" s="73">
        <f t="shared" si="1"/>
        <v>23</v>
      </c>
      <c r="B56" s="73" t="s">
        <v>318</v>
      </c>
      <c r="C56" s="73" t="s">
        <v>37</v>
      </c>
      <c r="D56" s="77" t="s">
        <v>97</v>
      </c>
      <c r="E56" s="252"/>
      <c r="F56" s="105"/>
      <c r="G56" s="105"/>
      <c r="H56" s="86">
        <f>H50+H54+H55</f>
        <v>4541642.79</v>
      </c>
      <c r="I56" s="92" t="s">
        <v>98</v>
      </c>
      <c r="J56" s="356" t="s">
        <v>522</v>
      </c>
      <c r="K56" s="357"/>
      <c r="L56" s="88" t="s">
        <v>299</v>
      </c>
      <c r="M56" s="5"/>
    </row>
    <row r="57" spans="1:21" ht="33" customHeight="1" x14ac:dyDescent="0.3">
      <c r="A57" s="73">
        <f t="shared" si="1"/>
        <v>24</v>
      </c>
      <c r="B57" s="73" t="s">
        <v>318</v>
      </c>
      <c r="C57" s="73" t="s">
        <v>37</v>
      </c>
      <c r="D57" s="147" t="s">
        <v>407</v>
      </c>
      <c r="E57" s="252"/>
      <c r="F57" s="105"/>
      <c r="G57" s="105"/>
      <c r="H57" s="76">
        <f>ROUND(IF(F38=1,(IF(PDMO&lt;MAPA_effective_date,0,(' VV-Example ABC'!G54+' VV-Example ABC'!G72+' VV-Example DEF'!G54+' VV-Example DEF'!G72)*GVRR))),2)</f>
        <v>1913138.32</v>
      </c>
      <c r="I57" s="302" t="s">
        <v>400</v>
      </c>
      <c r="J57" s="364" t="s">
        <v>553</v>
      </c>
      <c r="K57" s="357"/>
      <c r="L57" s="113" t="s">
        <v>115</v>
      </c>
      <c r="M57" s="5"/>
    </row>
    <row r="58" spans="1:21" ht="27.6" x14ac:dyDescent="0.3">
      <c r="A58" s="73">
        <f t="shared" si="1"/>
        <v>25</v>
      </c>
      <c r="B58" s="73" t="s">
        <v>318</v>
      </c>
      <c r="C58" s="73" t="s">
        <v>37</v>
      </c>
      <c r="D58" s="147" t="s">
        <v>487</v>
      </c>
      <c r="E58" s="252"/>
      <c r="F58" s="105"/>
      <c r="G58" s="105"/>
      <c r="H58" s="76">
        <f>H83+H57</f>
        <v>-33461124.580000006</v>
      </c>
      <c r="I58" s="148" t="s">
        <v>488</v>
      </c>
      <c r="J58" s="356" t="s">
        <v>401</v>
      </c>
      <c r="K58" s="357"/>
      <c r="L58" s="113" t="s">
        <v>115</v>
      </c>
      <c r="M58" s="5"/>
    </row>
    <row r="59" spans="1:21" ht="25.5" customHeight="1" thickBot="1" x14ac:dyDescent="0.35">
      <c r="A59" s="73">
        <f t="shared" si="1"/>
        <v>26</v>
      </c>
      <c r="B59" s="73" t="s">
        <v>318</v>
      </c>
      <c r="C59" s="77" t="s">
        <v>37</v>
      </c>
      <c r="D59" s="243" t="s">
        <v>99</v>
      </c>
      <c r="E59" s="252"/>
      <c r="F59" s="105"/>
      <c r="G59" s="105"/>
      <c r="H59" s="76">
        <f>H47+H56+H58</f>
        <v>-28903118.960000005</v>
      </c>
      <c r="I59" s="87" t="s">
        <v>100</v>
      </c>
      <c r="J59" s="356" t="s">
        <v>489</v>
      </c>
      <c r="K59" s="357"/>
      <c r="L59" s="94" t="s">
        <v>115</v>
      </c>
      <c r="M59" s="5"/>
      <c r="N59" s="5"/>
      <c r="O59" s="22"/>
    </row>
    <row r="60" spans="1:21" ht="16.5" customHeight="1" x14ac:dyDescent="0.3">
      <c r="A60" s="73">
        <f t="shared" si="1"/>
        <v>27</v>
      </c>
      <c r="B60" s="77" t="s">
        <v>291</v>
      </c>
      <c r="C60" s="77" t="s">
        <v>37</v>
      </c>
      <c r="D60" s="77" t="s">
        <v>102</v>
      </c>
      <c r="E60" s="98">
        <f>' VV-Example ABC'!$E34+' VV-Example ABC'!E76+' VV-Example DEF'!E34+' VV-Example DEF'!E76</f>
        <v>900414.57</v>
      </c>
      <c r="F60" s="105"/>
      <c r="G60" s="105"/>
      <c r="H60" s="252"/>
      <c r="I60" s="96" t="s">
        <v>103</v>
      </c>
      <c r="J60" s="356" t="s">
        <v>470</v>
      </c>
      <c r="K60" s="357"/>
      <c r="L60" s="97" t="s">
        <v>300</v>
      </c>
      <c r="M60" s="385" t="s">
        <v>466</v>
      </c>
      <c r="N60" s="385" t="s">
        <v>467</v>
      </c>
    </row>
    <row r="61" spans="1:21" ht="13.5" customHeight="1" thickBot="1" x14ac:dyDescent="0.35">
      <c r="A61" s="73">
        <f t="shared" si="1"/>
        <v>28</v>
      </c>
      <c r="B61" s="73" t="s">
        <v>291</v>
      </c>
      <c r="C61" s="73" t="s">
        <v>37</v>
      </c>
      <c r="D61" s="73" t="s">
        <v>104</v>
      </c>
      <c r="E61" s="98">
        <f>' VV-Example ABC'!$E37+' VV-Example ABC'!E63+' VV-Example DEF'!E37+' VV-Example DEF'!E63</f>
        <v>112551.83</v>
      </c>
      <c r="F61" s="105"/>
      <c r="G61" s="105"/>
      <c r="H61" s="252"/>
      <c r="I61" s="95" t="s">
        <v>105</v>
      </c>
      <c r="J61" s="356" t="s">
        <v>471</v>
      </c>
      <c r="K61" s="357"/>
      <c r="L61" s="97" t="s">
        <v>300</v>
      </c>
      <c r="M61" s="386"/>
      <c r="N61" s="386"/>
    </row>
    <row r="62" spans="1:21" ht="27.6" x14ac:dyDescent="0.3">
      <c r="A62" s="73">
        <f t="shared" si="1"/>
        <v>29</v>
      </c>
      <c r="B62" s="73" t="s">
        <v>291</v>
      </c>
      <c r="C62" s="73" t="s">
        <v>37</v>
      </c>
      <c r="D62" s="73" t="s">
        <v>106</v>
      </c>
      <c r="E62" s="100">
        <f>E60-E61</f>
        <v>787862.74</v>
      </c>
      <c r="F62" s="105"/>
      <c r="G62" s="105"/>
      <c r="H62" s="252"/>
      <c r="I62" s="99" t="s">
        <v>107</v>
      </c>
      <c r="J62" s="356" t="s">
        <v>507</v>
      </c>
      <c r="K62" s="357"/>
      <c r="L62" s="94" t="s">
        <v>300</v>
      </c>
      <c r="M62" s="5"/>
      <c r="N62" s="62"/>
    </row>
    <row r="63" spans="1:21" ht="16.5" customHeight="1" x14ac:dyDescent="0.3">
      <c r="A63" s="73">
        <f t="shared" si="1"/>
        <v>30</v>
      </c>
      <c r="B63" s="73" t="s">
        <v>291</v>
      </c>
      <c r="C63" s="73" t="s">
        <v>37</v>
      </c>
      <c r="D63" s="245" t="s">
        <v>287</v>
      </c>
      <c r="E63" s="252"/>
      <c r="F63" s="105"/>
      <c r="G63" s="101">
        <f>IF(PDMO&lt;MAPA_effective_date,Qualified_Capex_Credit_Rate,0)</f>
        <v>0</v>
      </c>
      <c r="H63" s="252"/>
      <c r="I63" s="89" t="s">
        <v>290</v>
      </c>
      <c r="J63" s="356" t="s">
        <v>369</v>
      </c>
      <c r="K63" s="357"/>
      <c r="L63" s="93" t="s">
        <v>301</v>
      </c>
      <c r="M63" s="4"/>
      <c r="N63" s="62"/>
    </row>
    <row r="64" spans="1:21" s="4" customFormat="1" ht="13.8" x14ac:dyDescent="0.3">
      <c r="A64" s="73">
        <f t="shared" si="1"/>
        <v>31</v>
      </c>
      <c r="B64" s="73" t="s">
        <v>291</v>
      </c>
      <c r="C64" s="73" t="s">
        <v>37</v>
      </c>
      <c r="D64" s="73" t="s">
        <v>281</v>
      </c>
      <c r="E64" s="253"/>
      <c r="F64" s="262"/>
      <c r="G64" s="103">
        <f>ROUND((1+'AC-Example'!$E$60)^12-1,7)</f>
        <v>3.2988099999999999E-2</v>
      </c>
      <c r="H64" s="253"/>
      <c r="I64" s="95" t="s">
        <v>311</v>
      </c>
      <c r="J64" s="356" t="s">
        <v>508</v>
      </c>
      <c r="K64" s="357"/>
      <c r="L64" s="102" t="s">
        <v>108</v>
      </c>
      <c r="M64" s="5"/>
      <c r="N64" s="64"/>
      <c r="P64" s="5"/>
      <c r="Q64" s="5"/>
      <c r="R64" s="5"/>
      <c r="S64" s="5"/>
      <c r="T64" s="5"/>
      <c r="U64" s="5"/>
    </row>
    <row r="65" spans="1:21" ht="27.75" customHeight="1" thickBot="1" x14ac:dyDescent="0.35">
      <c r="A65" s="73">
        <f t="shared" si="1"/>
        <v>32</v>
      </c>
      <c r="B65" s="73" t="s">
        <v>291</v>
      </c>
      <c r="C65" s="73" t="s">
        <v>37</v>
      </c>
      <c r="D65" s="245" t="s">
        <v>47</v>
      </c>
      <c r="E65" s="252"/>
      <c r="F65" s="105"/>
      <c r="G65" s="105"/>
      <c r="H65" s="76">
        <f>ROUND(-G63*IF(PDMO&lt;ACES_Effective_Date,H54,(0.5*H54+(0.5*H54)/(1+G64))),2)</f>
        <v>0</v>
      </c>
      <c r="I65" s="95" t="s">
        <v>323</v>
      </c>
      <c r="J65" s="356" t="s">
        <v>408</v>
      </c>
      <c r="K65" s="357"/>
      <c r="L65" s="104" t="s">
        <v>301</v>
      </c>
      <c r="M65" s="5"/>
      <c r="N65" s="5"/>
      <c r="O65" s="4"/>
    </row>
    <row r="66" spans="1:21" ht="31.5" customHeight="1" thickBot="1" x14ac:dyDescent="0.35">
      <c r="A66" s="73">
        <f t="shared" si="1"/>
        <v>33</v>
      </c>
      <c r="B66" s="105" t="s">
        <v>292</v>
      </c>
      <c r="C66" s="73" t="s">
        <v>37</v>
      </c>
      <c r="D66" s="245" t="s">
        <v>286</v>
      </c>
      <c r="E66" s="252"/>
      <c r="F66" s="105"/>
      <c r="G66" s="106">
        <f>IF(PDMO&lt;ACES_Effective_Date,Before_ACES_Loss_Carry_Forward_Cr_Rate,IF(PDMO&lt;MAPA_effective_date,After_ACES_Loss_Carry_Forward_Cr_Rate,After_MAPA_Loss_Carry_Forward_Cr._Rate))</f>
        <v>-0.35</v>
      </c>
      <c r="I66" s="96" t="s">
        <v>288</v>
      </c>
      <c r="J66" s="356" t="s">
        <v>463</v>
      </c>
      <c r="K66" s="357"/>
      <c r="L66" s="102" t="s">
        <v>111</v>
      </c>
      <c r="M66" s="169" t="s">
        <v>114</v>
      </c>
      <c r="N66" s="169" t="s">
        <v>308</v>
      </c>
    </row>
    <row r="67" spans="1:21" s="4" customFormat="1" ht="34.950000000000003" customHeight="1" x14ac:dyDescent="0.3">
      <c r="A67" s="73">
        <f t="shared" si="1"/>
        <v>34</v>
      </c>
      <c r="B67" s="73" t="s">
        <v>292</v>
      </c>
      <c r="C67" s="73" t="s">
        <v>37</v>
      </c>
      <c r="D67" s="305" t="s">
        <v>109</v>
      </c>
      <c r="E67" s="253"/>
      <c r="F67" s="262"/>
      <c r="G67" s="262"/>
      <c r="H67" s="306">
        <f>IF(OR(E$60&lt;&gt;0,H$40&lt;&gt;0),0,IF(PDMO&lt;HB247_Effective_Date,H59,H47+H56))</f>
        <v>0</v>
      </c>
      <c r="I67" s="307" t="s">
        <v>110</v>
      </c>
      <c r="J67" s="391" t="s">
        <v>542</v>
      </c>
      <c r="K67" s="392"/>
      <c r="L67" s="102" t="s">
        <v>111</v>
      </c>
      <c r="M67" s="5"/>
      <c r="N67" s="62"/>
      <c r="O67" s="23"/>
      <c r="P67" s="5"/>
      <c r="Q67" s="5"/>
      <c r="R67" s="5"/>
      <c r="S67" s="5"/>
      <c r="T67" s="5"/>
      <c r="U67" s="5"/>
    </row>
    <row r="68" spans="1:21" ht="30" customHeight="1" thickBot="1" x14ac:dyDescent="0.35">
      <c r="A68" s="73">
        <f t="shared" si="1"/>
        <v>35</v>
      </c>
      <c r="B68" s="73" t="s">
        <v>292</v>
      </c>
      <c r="C68" s="73" t="s">
        <v>37</v>
      </c>
      <c r="D68" s="107" t="s">
        <v>112</v>
      </c>
      <c r="E68" s="252"/>
      <c r="F68" s="105"/>
      <c r="G68" s="105"/>
      <c r="H68" s="76">
        <f>ROUND(G66*H67,2)</f>
        <v>0</v>
      </c>
      <c r="I68" s="95" t="s">
        <v>113</v>
      </c>
      <c r="J68" s="356" t="s">
        <v>410</v>
      </c>
      <c r="K68" s="357"/>
      <c r="L68" s="102" t="s">
        <v>111</v>
      </c>
      <c r="M68" s="5"/>
      <c r="N68" s="5"/>
      <c r="O68" s="16"/>
    </row>
    <row r="69" spans="1:21" ht="16.2" thickBot="1" x14ac:dyDescent="0.35">
      <c r="A69" s="73">
        <f t="shared" si="1"/>
        <v>36</v>
      </c>
      <c r="B69" s="77" t="s">
        <v>293</v>
      </c>
      <c r="C69" s="77" t="s">
        <v>37</v>
      </c>
      <c r="D69" s="109" t="s">
        <v>116</v>
      </c>
      <c r="E69" s="252"/>
      <c r="F69" s="110">
        <f>IF(PDMO&lt;ACES_Effective_Date,Threshold__1_Price_Before_Aces,Threshold__1_Price_After_Aces)</f>
        <v>30</v>
      </c>
      <c r="G69" s="105"/>
      <c r="H69" s="252"/>
      <c r="I69" s="82" t="s">
        <v>117</v>
      </c>
      <c r="J69" s="356" t="s">
        <v>370</v>
      </c>
      <c r="K69" s="357"/>
      <c r="L69" s="94" t="s">
        <v>154</v>
      </c>
      <c r="M69" s="169" t="s">
        <v>468</v>
      </c>
      <c r="N69" s="169" t="s">
        <v>469</v>
      </c>
      <c r="O69" s="16"/>
    </row>
    <row r="70" spans="1:21" s="26" customFormat="1" ht="12" customHeight="1" x14ac:dyDescent="0.3">
      <c r="A70" s="73">
        <f t="shared" si="1"/>
        <v>37</v>
      </c>
      <c r="B70" s="77" t="s">
        <v>293</v>
      </c>
      <c r="C70" s="77" t="s">
        <v>37</v>
      </c>
      <c r="D70" s="109" t="s">
        <v>118</v>
      </c>
      <c r="E70" s="254"/>
      <c r="F70" s="263"/>
      <c r="G70" s="103">
        <f>IF(PDMO&lt;ACES_Effective_Date,Progressive_Increment__1_Before_Aces,Progressive_Increment__1_After_Aces)</f>
        <v>4.0000000000000001E-3</v>
      </c>
      <c r="H70" s="254"/>
      <c r="I70" s="82" t="s">
        <v>312</v>
      </c>
      <c r="J70" s="356" t="s">
        <v>371</v>
      </c>
      <c r="K70" s="357"/>
      <c r="L70" s="94" t="s">
        <v>154</v>
      </c>
      <c r="N70" s="63"/>
      <c r="O70" s="27"/>
      <c r="P70" s="5"/>
      <c r="Q70" s="5"/>
      <c r="R70" s="5"/>
      <c r="S70" s="5"/>
      <c r="T70" s="5"/>
      <c r="U70" s="5"/>
    </row>
    <row r="71" spans="1:21" s="26" customFormat="1" ht="12" customHeight="1" x14ac:dyDescent="0.3">
      <c r="A71" s="73">
        <f t="shared" si="1"/>
        <v>38</v>
      </c>
      <c r="B71" s="77" t="s">
        <v>293</v>
      </c>
      <c r="C71" s="77" t="s">
        <v>37</v>
      </c>
      <c r="D71" s="109" t="s">
        <v>50</v>
      </c>
      <c r="E71" s="254"/>
      <c r="F71" s="110">
        <f>Threshold__2_Price_After_Aces</f>
        <v>92.5</v>
      </c>
      <c r="G71" s="263"/>
      <c r="H71" s="254"/>
      <c r="I71" s="82" t="s">
        <v>119</v>
      </c>
      <c r="J71" s="356">
        <v>92.5</v>
      </c>
      <c r="K71" s="357"/>
      <c r="L71" s="94" t="s">
        <v>154</v>
      </c>
      <c r="N71" s="63"/>
      <c r="O71" s="27"/>
      <c r="P71" s="5"/>
      <c r="Q71" s="5"/>
      <c r="R71" s="5"/>
      <c r="S71" s="5"/>
      <c r="T71" s="5"/>
      <c r="U71" s="5"/>
    </row>
    <row r="72" spans="1:21" s="26" customFormat="1" ht="12" customHeight="1" x14ac:dyDescent="0.3">
      <c r="A72" s="73">
        <f t="shared" si="1"/>
        <v>39</v>
      </c>
      <c r="B72" s="77" t="s">
        <v>293</v>
      </c>
      <c r="C72" s="77" t="s">
        <v>37</v>
      </c>
      <c r="D72" s="109" t="s">
        <v>51</v>
      </c>
      <c r="E72" s="254"/>
      <c r="F72" s="263"/>
      <c r="G72" s="103">
        <f>IF(PDMO&lt;ACES_Effective_Date,Progressive_Increment__1_Before_Aces,Progressive_Increment__2_After_Aces)</f>
        <v>1E-3</v>
      </c>
      <c r="H72" s="254"/>
      <c r="I72" s="82" t="s">
        <v>313</v>
      </c>
      <c r="J72" s="356" t="s">
        <v>372</v>
      </c>
      <c r="K72" s="357"/>
      <c r="L72" s="94" t="s">
        <v>154</v>
      </c>
      <c r="N72" s="63"/>
      <c r="O72" s="27"/>
      <c r="P72" s="5"/>
      <c r="Q72" s="5"/>
      <c r="R72" s="5"/>
      <c r="S72" s="5"/>
      <c r="T72" s="5"/>
      <c r="U72" s="5"/>
    </row>
    <row r="73" spans="1:21" s="26" customFormat="1" ht="12" customHeight="1" x14ac:dyDescent="0.3">
      <c r="A73" s="73">
        <f t="shared" si="1"/>
        <v>40</v>
      </c>
      <c r="B73" s="77" t="s">
        <v>293</v>
      </c>
      <c r="C73" s="77" t="s">
        <v>37</v>
      </c>
      <c r="D73" s="109" t="s">
        <v>282</v>
      </c>
      <c r="E73" s="254"/>
      <c r="F73" s="263"/>
      <c r="G73" s="103">
        <f>IF(PDMO&lt;ACES_Effective_Date,Max_Price_Index_Based_Rate_Before_Aces,Max_Price_Index_Based_Rate_After_Aces)</f>
        <v>0.5</v>
      </c>
      <c r="H73" s="254"/>
      <c r="I73" s="82" t="s">
        <v>283</v>
      </c>
      <c r="J73" s="356" t="s">
        <v>373</v>
      </c>
      <c r="K73" s="357"/>
      <c r="L73" s="94" t="s">
        <v>154</v>
      </c>
      <c r="M73" s="5"/>
      <c r="N73" s="63"/>
      <c r="O73" s="27"/>
      <c r="P73" s="5"/>
      <c r="Q73" s="5"/>
      <c r="R73" s="5"/>
      <c r="S73" s="5"/>
      <c r="T73" s="5"/>
      <c r="U73" s="5"/>
    </row>
    <row r="74" spans="1:21" ht="19.95" customHeight="1" x14ac:dyDescent="0.3">
      <c r="A74" s="73">
        <f t="shared" si="1"/>
        <v>41</v>
      </c>
      <c r="B74" s="73" t="s">
        <v>293</v>
      </c>
      <c r="C74" s="111" t="s">
        <v>88</v>
      </c>
      <c r="D74" s="77" t="s">
        <v>120</v>
      </c>
      <c r="E74" s="252"/>
      <c r="F74" s="105"/>
      <c r="G74" s="105"/>
      <c r="H74" s="79">
        <f>'AC-Example'!$F$34</f>
        <v>0</v>
      </c>
      <c r="I74" s="112" t="s">
        <v>121</v>
      </c>
      <c r="J74" s="356" t="s">
        <v>34</v>
      </c>
      <c r="K74" s="357"/>
      <c r="L74" s="113" t="s">
        <v>302</v>
      </c>
      <c r="M74" s="5"/>
      <c r="N74" s="20"/>
      <c r="O74" s="16"/>
    </row>
    <row r="75" spans="1:21" ht="13.8" x14ac:dyDescent="0.3">
      <c r="A75" s="73">
        <f t="shared" si="1"/>
        <v>42</v>
      </c>
      <c r="B75" s="73" t="s">
        <v>293</v>
      </c>
      <c r="C75" s="111" t="s">
        <v>122</v>
      </c>
      <c r="D75" s="114" t="s">
        <v>123</v>
      </c>
      <c r="E75" s="252"/>
      <c r="F75" s="105"/>
      <c r="G75" s="103">
        <f>'AC-Example'!$E$65</f>
        <v>0.4</v>
      </c>
      <c r="H75" s="252"/>
      <c r="I75" s="115" t="s">
        <v>124</v>
      </c>
      <c r="J75" s="356" t="s">
        <v>34</v>
      </c>
      <c r="K75" s="357"/>
      <c r="L75" s="104" t="s">
        <v>302</v>
      </c>
      <c r="M75" s="5"/>
      <c r="N75" s="20"/>
      <c r="O75" s="16"/>
    </row>
    <row r="76" spans="1:21" ht="26.25" customHeight="1" x14ac:dyDescent="0.3">
      <c r="A76" s="73">
        <f t="shared" si="1"/>
        <v>43</v>
      </c>
      <c r="B76" s="73" t="s">
        <v>293</v>
      </c>
      <c r="C76" s="73" t="s">
        <v>37</v>
      </c>
      <c r="D76" s="244" t="s">
        <v>125</v>
      </c>
      <c r="E76" s="252"/>
      <c r="F76" s="105"/>
      <c r="G76" s="103">
        <f>IF(PDMO&lt;ACES_Effective_Date,Before_ACES_Section_e__Tax_Rate,IF(PDMO&lt;MAPA_effective_date,After_ACES_Section_e__Tax_Rate,After_MAPA_Section_e__Tax_Rate))</f>
        <v>0.35</v>
      </c>
      <c r="H76" s="252"/>
      <c r="I76" s="167" t="s">
        <v>126</v>
      </c>
      <c r="J76" s="356" t="s">
        <v>374</v>
      </c>
      <c r="K76" s="357"/>
      <c r="L76" s="116" t="s">
        <v>303</v>
      </c>
      <c r="M76" s="5"/>
      <c r="N76" s="20"/>
      <c r="O76" s="16"/>
    </row>
    <row r="77" spans="1:21" ht="16.5" customHeight="1" x14ac:dyDescent="0.3">
      <c r="A77" s="73">
        <f t="shared" si="1"/>
        <v>44</v>
      </c>
      <c r="B77" s="73" t="s">
        <v>293</v>
      </c>
      <c r="C77" s="73" t="s">
        <v>37</v>
      </c>
      <c r="D77" s="244" t="s">
        <v>127</v>
      </c>
      <c r="E77" s="252"/>
      <c r="F77" s="118">
        <f>IF(H39+H46+H47+H56+'AC-Example'!$F34&lt;0,1,0)</f>
        <v>1</v>
      </c>
      <c r="G77" s="105"/>
      <c r="H77" s="252"/>
      <c r="I77" s="117" t="s">
        <v>128</v>
      </c>
      <c r="J77" s="356" t="s">
        <v>375</v>
      </c>
      <c r="K77" s="357"/>
      <c r="L77" s="104" t="s">
        <v>302</v>
      </c>
      <c r="M77" s="5"/>
      <c r="N77" s="20"/>
      <c r="O77" s="16"/>
    </row>
    <row r="78" spans="1:21" ht="13.8" x14ac:dyDescent="0.3">
      <c r="A78" s="73">
        <f t="shared" si="1"/>
        <v>45</v>
      </c>
      <c r="B78" s="73" t="s">
        <v>293</v>
      </c>
      <c r="C78" s="73" t="s">
        <v>37</v>
      </c>
      <c r="D78" s="119" t="s">
        <v>129</v>
      </c>
      <c r="E78" s="252"/>
      <c r="F78" s="105"/>
      <c r="G78" s="145">
        <f>ROUND(IF(OR(PDMO&lt;ACES_Effective_Date,F77=0),1,(1-G75)/(1-G76*G75)),7)</f>
        <v>0.69767440000000003</v>
      </c>
      <c r="H78" s="252"/>
      <c r="I78" s="120" t="s">
        <v>317</v>
      </c>
      <c r="J78" s="356" t="s">
        <v>353</v>
      </c>
      <c r="K78" s="357"/>
      <c r="L78" s="113" t="s">
        <v>302</v>
      </c>
      <c r="M78" s="5"/>
      <c r="N78" s="20"/>
      <c r="O78" s="16"/>
    </row>
    <row r="79" spans="1:21" ht="13.8" x14ac:dyDescent="0.3">
      <c r="A79" s="73">
        <f t="shared" si="1"/>
        <v>46</v>
      </c>
      <c r="B79" s="73" t="s">
        <v>293</v>
      </c>
      <c r="C79" s="73" t="s">
        <v>37</v>
      </c>
      <c r="D79" s="121" t="s">
        <v>130</v>
      </c>
      <c r="E79" s="252"/>
      <c r="F79" s="105"/>
      <c r="G79" s="105"/>
      <c r="H79" s="79">
        <f>ROUND(IF(E62=0,0,-H$59/(E62/G78)),2)</f>
        <v>25.59</v>
      </c>
      <c r="I79" s="122" t="s">
        <v>402</v>
      </c>
      <c r="J79" s="356" t="s">
        <v>403</v>
      </c>
      <c r="K79" s="357"/>
      <c r="L79" s="113" t="s">
        <v>304</v>
      </c>
      <c r="M79" s="5"/>
      <c r="N79" s="20"/>
      <c r="O79" s="16"/>
    </row>
    <row r="80" spans="1:21" ht="62.25" customHeight="1" x14ac:dyDescent="0.3">
      <c r="A80" s="73">
        <f t="shared" si="1"/>
        <v>47</v>
      </c>
      <c r="B80" s="73" t="s">
        <v>293</v>
      </c>
      <c r="C80" s="73" t="s">
        <v>37</v>
      </c>
      <c r="D80" s="244" t="s">
        <v>131</v>
      </c>
      <c r="E80" s="252"/>
      <c r="F80" s="105"/>
      <c r="G80" s="280">
        <f>IF(PDMO&gt;=MAPA_effective_date,0,ROUND(IF(PDMO&lt;ACES_Effective_Date,MIN(Max_Price_Index_Based_Rate_Before_Aces,MAX(0,(H79-F69)*G70)),MIN(Max_Price_Index_Based_Rate_After_Aces,MAX(0,(MIN(H79,F71)-F69)*G70+MAX(0,(H79-F71)*Progressive_Increment__2_After_Aces)))),7))</f>
        <v>0</v>
      </c>
      <c r="I80" s="198" t="s">
        <v>132</v>
      </c>
      <c r="J80" s="356" t="s">
        <v>430</v>
      </c>
      <c r="K80" s="357"/>
      <c r="L80" s="282" t="s">
        <v>404</v>
      </c>
      <c r="M80" s="5"/>
      <c r="N80" s="20"/>
      <c r="O80" s="16"/>
    </row>
    <row r="81" spans="1:21" ht="27" customHeight="1" thickBot="1" x14ac:dyDescent="0.35">
      <c r="A81" s="73">
        <f t="shared" si="1"/>
        <v>48</v>
      </c>
      <c r="B81" s="73" t="s">
        <v>293</v>
      </c>
      <c r="C81" s="73" t="s">
        <v>37</v>
      </c>
      <c r="D81" s="109" t="s">
        <v>133</v>
      </c>
      <c r="E81" s="252"/>
      <c r="F81" s="105"/>
      <c r="G81" s="105"/>
      <c r="H81" s="79">
        <f>-ROUND(G80*H59,2)</f>
        <v>0</v>
      </c>
      <c r="I81" s="108" t="s">
        <v>134</v>
      </c>
      <c r="J81" s="356" t="s">
        <v>348</v>
      </c>
      <c r="K81" s="357"/>
      <c r="L81" s="94" t="s">
        <v>154</v>
      </c>
      <c r="M81" s="5"/>
      <c r="N81" s="20"/>
      <c r="O81" s="16"/>
    </row>
    <row r="82" spans="1:21" ht="42.75" customHeight="1" x14ac:dyDescent="0.3">
      <c r="A82" s="73">
        <f t="shared" si="1"/>
        <v>49</v>
      </c>
      <c r="B82" s="73" t="s">
        <v>294</v>
      </c>
      <c r="C82" s="73" t="s">
        <v>37</v>
      </c>
      <c r="D82" s="310" t="s">
        <v>136</v>
      </c>
      <c r="E82" s="252"/>
      <c r="F82" s="105"/>
      <c r="G82" s="105"/>
      <c r="H82" s="311">
        <f>ROUND(IF(AND(E$60=0,H$40=0),0,IF(H59&gt;0,0,IF(PDMO&gt;=HB247_Effective_Date,(-G76*(H83+H47+H56)*G78)-(G76*H57*G99),-H59*G76*G78))),2)</f>
        <v>6746297.0300000003</v>
      </c>
      <c r="I82" s="312" t="s">
        <v>137</v>
      </c>
      <c r="J82" s="346" t="s">
        <v>558</v>
      </c>
      <c r="K82" s="388"/>
      <c r="L82" s="102" t="s">
        <v>84</v>
      </c>
      <c r="M82" s="385" t="s">
        <v>465</v>
      </c>
      <c r="N82" s="385" t="s">
        <v>531</v>
      </c>
      <c r="O82" s="25"/>
    </row>
    <row r="83" spans="1:21" ht="30" customHeight="1" thickBot="1" x14ac:dyDescent="0.35">
      <c r="A83" s="73">
        <f t="shared" si="1"/>
        <v>50</v>
      </c>
      <c r="B83" s="77" t="s">
        <v>294</v>
      </c>
      <c r="C83" s="73" t="s">
        <v>37</v>
      </c>
      <c r="D83" s="73" t="s">
        <v>138</v>
      </c>
      <c r="E83" s="252"/>
      <c r="F83" s="105"/>
      <c r="G83" s="105"/>
      <c r="H83" s="76">
        <f>H39+H46</f>
        <v>-35374262.900000006</v>
      </c>
      <c r="I83" s="108" t="s">
        <v>139</v>
      </c>
      <c r="J83" s="356" t="s">
        <v>140</v>
      </c>
      <c r="K83" s="357"/>
      <c r="L83" s="75" t="s">
        <v>394</v>
      </c>
      <c r="M83" s="386"/>
      <c r="N83" s="386"/>
      <c r="O83" s="25"/>
    </row>
    <row r="84" spans="1:21" ht="26.25" customHeight="1" x14ac:dyDescent="0.3">
      <c r="A84" s="73">
        <f t="shared" si="1"/>
        <v>51</v>
      </c>
      <c r="B84" s="77" t="s">
        <v>294</v>
      </c>
      <c r="C84" s="73" t="s">
        <v>37</v>
      </c>
      <c r="D84" s="73" t="s">
        <v>144</v>
      </c>
      <c r="E84" s="252"/>
      <c r="F84" s="105"/>
      <c r="G84" s="281">
        <f>IF(F36&lt;15,0,IF(F36&lt;17.5,1%,IF(F36&lt;20,2%,IF(F36&lt;25,3%,4%))))</f>
        <v>0.04</v>
      </c>
      <c r="I84" s="261" t="s">
        <v>145</v>
      </c>
      <c r="J84" s="356" t="s">
        <v>509</v>
      </c>
      <c r="K84" s="357"/>
      <c r="L84" s="387" t="s">
        <v>305</v>
      </c>
      <c r="M84" s="5"/>
      <c r="N84" s="5"/>
      <c r="O84" s="25"/>
    </row>
    <row r="85" spans="1:21" ht="16.5" customHeight="1" x14ac:dyDescent="0.3">
      <c r="A85" s="73">
        <f t="shared" si="1"/>
        <v>52</v>
      </c>
      <c r="B85" s="73" t="s">
        <v>294</v>
      </c>
      <c r="C85" s="73" t="s">
        <v>37</v>
      </c>
      <c r="D85" s="84" t="s">
        <v>146</v>
      </c>
      <c r="E85" s="252"/>
      <c r="F85" s="105"/>
      <c r="G85" s="105"/>
      <c r="H85" s="79">
        <f>IF(H83&gt;0,0,ROUND(- H83*G84,2))</f>
        <v>1414970.52</v>
      </c>
      <c r="I85" s="95" t="s">
        <v>147</v>
      </c>
      <c r="J85" s="356" t="s">
        <v>376</v>
      </c>
      <c r="K85" s="357"/>
      <c r="L85" s="387"/>
      <c r="M85" s="5"/>
      <c r="O85" s="25"/>
    </row>
    <row r="86" spans="1:21" ht="20.25" customHeight="1" thickBot="1" x14ac:dyDescent="0.35">
      <c r="A86" s="73">
        <f t="shared" si="1"/>
        <v>53</v>
      </c>
      <c r="B86" s="73" t="s">
        <v>294</v>
      </c>
      <c r="C86" s="73" t="s">
        <v>37</v>
      </c>
      <c r="D86" s="77" t="s">
        <v>314</v>
      </c>
      <c r="E86" s="252"/>
      <c r="F86" s="105"/>
      <c r="G86" s="105"/>
      <c r="H86" s="79">
        <f>MAX(H81+H82,H85)</f>
        <v>6746297.0300000003</v>
      </c>
      <c r="I86" s="122" t="s">
        <v>411</v>
      </c>
      <c r="J86" s="356" t="s">
        <v>397</v>
      </c>
      <c r="K86" s="357"/>
      <c r="L86" s="270" t="s">
        <v>404</v>
      </c>
      <c r="M86" s="5"/>
      <c r="O86" s="25"/>
    </row>
    <row r="87" spans="1:21" ht="39" customHeight="1" thickBot="1" x14ac:dyDescent="0.35">
      <c r="A87" s="73">
        <f t="shared" si="1"/>
        <v>54</v>
      </c>
      <c r="B87" s="77" t="s">
        <v>148</v>
      </c>
      <c r="C87" s="77" t="s">
        <v>37</v>
      </c>
      <c r="D87" s="248" t="s">
        <v>533</v>
      </c>
      <c r="E87" s="252"/>
      <c r="F87" s="279">
        <f>IF(F14&gt;=DATE(2016,5,1),2,IF(YEAR(PDMO)&lt;2017,1,IF(PDMO&lt;=EOMONTH(DATE(YEAR(F14),12,1),108),1,2)))</f>
        <v>1</v>
      </c>
      <c r="G87" s="105"/>
      <c r="H87" s="252"/>
      <c r="I87" s="249" t="s">
        <v>535</v>
      </c>
      <c r="J87" s="389" t="s">
        <v>536</v>
      </c>
      <c r="K87" s="390"/>
      <c r="L87" s="315" t="s">
        <v>524</v>
      </c>
      <c r="M87" s="241" t="s">
        <v>159</v>
      </c>
      <c r="N87" s="259" t="s">
        <v>309</v>
      </c>
      <c r="O87" s="25"/>
    </row>
    <row r="88" spans="1:21" ht="20.25" customHeight="1" x14ac:dyDescent="0.3">
      <c r="A88" s="73">
        <f t="shared" si="1"/>
        <v>55</v>
      </c>
      <c r="B88" s="73" t="s">
        <v>148</v>
      </c>
      <c r="C88" s="73" t="s">
        <v>37</v>
      </c>
      <c r="D88" s="73" t="s">
        <v>149</v>
      </c>
      <c r="E88" s="252"/>
      <c r="F88" s="126">
        <f>EOMONTH(PDMO,0)-PDMO+1</f>
        <v>28</v>
      </c>
      <c r="G88" s="105"/>
      <c r="H88" s="252"/>
      <c r="I88" s="124" t="s">
        <v>150</v>
      </c>
      <c r="J88" s="358"/>
      <c r="K88" s="359"/>
      <c r="L88" s="125"/>
      <c r="M88" s="5"/>
      <c r="N88" s="5"/>
    </row>
    <row r="89" spans="1:21" ht="47.1" customHeight="1" x14ac:dyDescent="0.3">
      <c r="A89" s="73">
        <f t="shared" si="1"/>
        <v>56</v>
      </c>
      <c r="B89" s="77" t="s">
        <v>148</v>
      </c>
      <c r="C89" s="77" t="s">
        <v>37</v>
      </c>
      <c r="D89" s="109" t="s">
        <v>152</v>
      </c>
      <c r="E89" s="252"/>
      <c r="F89" s="105"/>
      <c r="G89" s="105"/>
      <c r="H89" s="76">
        <f>IF(E37=0,0,IF(F87=2,0,-1*ROUND(IF(E37&lt;50000,1000000,IF(E37&gt;100000,0,1000000*(1-(2*(E37-50000)/100000)))),2)))</f>
        <v>-199995</v>
      </c>
      <c r="I89" s="250" t="s">
        <v>153</v>
      </c>
      <c r="J89" s="344" t="s">
        <v>544</v>
      </c>
      <c r="K89" s="345"/>
      <c r="L89" s="94" t="s">
        <v>135</v>
      </c>
      <c r="M89" s="20"/>
      <c r="N89" s="20"/>
    </row>
    <row r="90" spans="1:21" ht="27.6" x14ac:dyDescent="0.3">
      <c r="A90" s="73">
        <f t="shared" si="1"/>
        <v>57</v>
      </c>
      <c r="B90" s="73" t="s">
        <v>148</v>
      </c>
      <c r="C90" s="73" t="s">
        <v>37</v>
      </c>
      <c r="D90" s="121" t="s">
        <v>155</v>
      </c>
      <c r="E90" s="269">
        <f>ROUND(E62/F88,2)</f>
        <v>28137.96</v>
      </c>
      <c r="G90" s="105"/>
      <c r="I90" s="129" t="s">
        <v>343</v>
      </c>
      <c r="J90" s="362" t="s">
        <v>156</v>
      </c>
      <c r="K90" s="363"/>
      <c r="L90" s="75" t="s">
        <v>135</v>
      </c>
      <c r="M90" s="20"/>
      <c r="N90" s="20"/>
    </row>
    <row r="91" spans="1:21" ht="60" customHeight="1" thickBot="1" x14ac:dyDescent="0.35">
      <c r="A91" s="73">
        <f t="shared" si="1"/>
        <v>58</v>
      </c>
      <c r="B91" s="73" t="s">
        <v>148</v>
      </c>
      <c r="C91" s="73" t="s">
        <v>37</v>
      </c>
      <c r="D91" s="313" t="s">
        <v>157</v>
      </c>
      <c r="E91" s="252"/>
      <c r="F91" s="105"/>
      <c r="G91" s="105"/>
      <c r="H91" s="247">
        <f>ROUND(IF(OR(H89=0,E37=0),0,IF(AND(H85&gt;H82+H81,ACES_Effective_Date&lt;=PDMO,PDMO&lt;MAPA_effective_date),0,-MIN(MAX(IF(PDMO&lt;ACES_Effective_Date,H82,H82+H81),H85),(-H89*(E90/E37)*IF(AND(PDMO&gt;=HB247_Effective_Date,H86&gt;H85),G99,1))))),2)</f>
        <v>-72705.89</v>
      </c>
      <c r="I91" s="290" t="s">
        <v>158</v>
      </c>
      <c r="J91" s="360" t="s">
        <v>559</v>
      </c>
      <c r="K91" s="361"/>
      <c r="L91" s="94" t="s">
        <v>135</v>
      </c>
      <c r="M91" s="5"/>
      <c r="N91" s="5"/>
    </row>
    <row r="92" spans="1:21" ht="33.75" customHeight="1" thickBot="1" x14ac:dyDescent="0.35">
      <c r="A92" s="73">
        <f t="shared" si="1"/>
        <v>59</v>
      </c>
      <c r="B92" s="77" t="s">
        <v>420</v>
      </c>
      <c r="C92" s="73" t="s">
        <v>37</v>
      </c>
      <c r="D92" s="149" t="s">
        <v>352</v>
      </c>
      <c r="E92" s="252"/>
      <c r="F92" s="271">
        <f>ROUND(IF(' VV-Example ABC'!E34+' VV-Example DEF'!E34=0,0,(' VV-Example ABC'!G55+' VV-Example DEF'!G55-' VV-Example ABC'!G56-' VV-Example DEF'!G56)/(' VV-Example ABC'!E34+' VV-Example DEF'!E34-' VV-Example ABC'!E37-' VV-Example DEF'!E37)),2)</f>
        <v>39.78</v>
      </c>
      <c r="G92" s="105"/>
      <c r="H92" s="252"/>
      <c r="I92" s="108" t="s">
        <v>395</v>
      </c>
      <c r="J92" s="344" t="s">
        <v>475</v>
      </c>
      <c r="K92" s="345"/>
      <c r="L92" s="75" t="s">
        <v>405</v>
      </c>
      <c r="M92" s="241" t="s">
        <v>162</v>
      </c>
      <c r="N92" s="259" t="s">
        <v>418</v>
      </c>
    </row>
    <row r="93" spans="1:21" ht="39" customHeight="1" x14ac:dyDescent="0.3">
      <c r="A93" s="73">
        <f t="shared" si="1"/>
        <v>60</v>
      </c>
      <c r="B93" s="77" t="s">
        <v>420</v>
      </c>
      <c r="C93" s="73" t="s">
        <v>37</v>
      </c>
      <c r="D93" s="149" t="s">
        <v>474</v>
      </c>
      <c r="E93" s="252"/>
      <c r="F93" s="271">
        <f>IF(PDMO&gt;=MAPA_effective_date,IF(F92&lt;80,8,IF(F92&lt;90,7,IF(F92&lt;100,6,IF(F92&lt;110,5,IF(F92&lt;120,4,IF(F92&lt;130,3,IF(F92&lt;140,2,IF(F92&lt;150,1,0)))))))),0)</f>
        <v>8</v>
      </c>
      <c r="G93" s="105"/>
      <c r="H93" s="252"/>
      <c r="I93" s="170" t="s">
        <v>477</v>
      </c>
      <c r="J93" s="348" t="s">
        <v>526</v>
      </c>
      <c r="K93" s="349"/>
      <c r="L93" s="277" t="s">
        <v>405</v>
      </c>
      <c r="M93" s="26"/>
      <c r="O93" s="25"/>
      <c r="P93"/>
    </row>
    <row r="94" spans="1:21" ht="30.75" customHeight="1" x14ac:dyDescent="0.3">
      <c r="A94" s="73">
        <f t="shared" si="1"/>
        <v>61</v>
      </c>
      <c r="B94" s="77" t="s">
        <v>420</v>
      </c>
      <c r="C94" s="73" t="s">
        <v>37</v>
      </c>
      <c r="D94" s="147" t="s">
        <v>478</v>
      </c>
      <c r="E94" s="100">
        <f>+' VV-Example ABC'!E34+' VV-Example DEF'!E34-' VV-Example ABC'!E37-' VV-Example DEF'!E37</f>
        <v>787500.1</v>
      </c>
      <c r="F94" s="263"/>
      <c r="G94" s="263"/>
      <c r="H94" s="252"/>
      <c r="I94" s="95" t="s">
        <v>479</v>
      </c>
      <c r="J94" s="342" t="s">
        <v>431</v>
      </c>
      <c r="K94" s="343"/>
      <c r="L94" s="201" t="s">
        <v>406</v>
      </c>
      <c r="M94" s="26"/>
      <c r="O94" s="25"/>
    </row>
    <row r="95" spans="1:21" ht="27.6" x14ac:dyDescent="0.3">
      <c r="A95" s="73">
        <f t="shared" si="1"/>
        <v>62</v>
      </c>
      <c r="B95" s="77" t="s">
        <v>420</v>
      </c>
      <c r="C95" s="73" t="s">
        <v>37</v>
      </c>
      <c r="D95" s="147" t="s">
        <v>480</v>
      </c>
      <c r="E95" s="100">
        <f>' VV-Example ABC'!E40+' VV-Example DEF'!E40</f>
        <v>213000</v>
      </c>
      <c r="F95" s="263"/>
      <c r="G95" s="263"/>
      <c r="H95" s="289"/>
      <c r="I95" s="95" t="s">
        <v>481</v>
      </c>
      <c r="J95" s="342" t="s">
        <v>482</v>
      </c>
      <c r="K95" s="343"/>
      <c r="L95" s="201" t="s">
        <v>412</v>
      </c>
      <c r="M95" s="26"/>
      <c r="O95" s="19"/>
    </row>
    <row r="96" spans="1:21" s="26" customFormat="1" ht="29.25" customHeight="1" x14ac:dyDescent="0.3">
      <c r="A96" s="73">
        <f t="shared" si="1"/>
        <v>63</v>
      </c>
      <c r="B96" s="77" t="s">
        <v>420</v>
      </c>
      <c r="C96" s="73" t="s">
        <v>37</v>
      </c>
      <c r="D96" s="314" t="s">
        <v>443</v>
      </c>
      <c r="E96" s="254"/>
      <c r="F96" s="263"/>
      <c r="G96" s="263"/>
      <c r="H96" s="247">
        <f>ROUND( - MIN(F93*(E94-E95)*IF(AND(PDMO&gt;=HB247_Effective_Date,H86&gt;H85),G99,1),MAX(H86+H91+H98-H85,0)),2)</f>
        <v>-4020248.53</v>
      </c>
      <c r="I96" s="290" t="s">
        <v>486</v>
      </c>
      <c r="J96" s="346" t="s">
        <v>561</v>
      </c>
      <c r="K96" s="347"/>
      <c r="L96" s="75" t="s">
        <v>396</v>
      </c>
      <c r="N96"/>
      <c r="O96" s="19"/>
      <c r="P96" s="5"/>
      <c r="Q96" s="5"/>
      <c r="R96" s="5"/>
      <c r="S96" s="5"/>
      <c r="T96" s="5"/>
      <c r="U96" s="5"/>
    </row>
    <row r="97" spans="1:23" s="26" customFormat="1" ht="18" customHeight="1" x14ac:dyDescent="0.3">
      <c r="A97" s="73">
        <f t="shared" si="1"/>
        <v>64</v>
      </c>
      <c r="B97" s="77" t="s">
        <v>420</v>
      </c>
      <c r="C97" s="73" t="s">
        <v>37</v>
      </c>
      <c r="D97" s="147" t="s">
        <v>445</v>
      </c>
      <c r="E97" s="254"/>
      <c r="F97" s="271">
        <f>IF(PDMO&gt;=MAPA_effective_date,DBGVR,0)</f>
        <v>-5</v>
      </c>
      <c r="G97" s="263"/>
      <c r="I97" s="95" t="s">
        <v>476</v>
      </c>
      <c r="J97" s="342" t="s">
        <v>472</v>
      </c>
      <c r="K97" s="343"/>
      <c r="L97" s="75" t="s">
        <v>396</v>
      </c>
      <c r="N97"/>
      <c r="O97" s="19"/>
      <c r="P97" s="5"/>
      <c r="Q97" s="5"/>
      <c r="R97" s="5"/>
      <c r="S97" s="5"/>
      <c r="T97" s="5"/>
      <c r="U97" s="5"/>
    </row>
    <row r="98" spans="1:23" s="26" customFormat="1" ht="33.75" customHeight="1" x14ac:dyDescent="0.3">
      <c r="A98" s="73">
        <f t="shared" si="1"/>
        <v>65</v>
      </c>
      <c r="B98" s="77" t="s">
        <v>420</v>
      </c>
      <c r="C98" s="73" t="s">
        <v>37</v>
      </c>
      <c r="D98" s="314" t="s">
        <v>444</v>
      </c>
      <c r="E98" s="254"/>
      <c r="F98" s="263"/>
      <c r="G98" s="263"/>
      <c r="H98" s="284">
        <f>ROUND(IF(PDMO&gt;=MAPA_effective_date,-MIN(H86+H91,-DBGVR*E95*IF(AND(PDMO&gt;=HB247_Effective_Date,H86&gt;H85),G99,1)),0),2)</f>
        <v>-1238372.0900000001</v>
      </c>
      <c r="I98" s="290" t="s">
        <v>485</v>
      </c>
      <c r="J98" s="346" t="s">
        <v>560</v>
      </c>
      <c r="K98" s="347"/>
      <c r="L98" s="75" t="s">
        <v>396</v>
      </c>
      <c r="N98"/>
      <c r="O98" s="19"/>
      <c r="P98" s="5"/>
      <c r="Q98" s="5"/>
      <c r="R98" s="5"/>
      <c r="S98" s="5"/>
      <c r="T98" s="5"/>
      <c r="U98" s="5"/>
    </row>
    <row r="99" spans="1:23" s="26" customFormat="1" ht="46.95" customHeight="1" thickBot="1" x14ac:dyDescent="0.35">
      <c r="A99" s="73">
        <f t="shared" si="1"/>
        <v>66</v>
      </c>
      <c r="B99" s="77" t="s">
        <v>420</v>
      </c>
      <c r="C99" s="73" t="s">
        <v>37</v>
      </c>
      <c r="D99" s="285" t="s">
        <v>549</v>
      </c>
      <c r="E99" s="254"/>
      <c r="F99" s="263"/>
      <c r="G99" s="287">
        <f>IF(PDMO&gt;=HB247_Effective_Date,IF(F77=1,1/(1-(G76*G75)),1),1)</f>
        <v>1.1627906976744187</v>
      </c>
      <c r="I99" s="303" t="s">
        <v>548</v>
      </c>
      <c r="J99" s="354" t="s">
        <v>556</v>
      </c>
      <c r="K99" s="355"/>
      <c r="L99" s="75" t="s">
        <v>543</v>
      </c>
      <c r="N99"/>
      <c r="O99" s="19"/>
      <c r="P99" s="5"/>
      <c r="Q99" s="5"/>
      <c r="R99" s="5"/>
      <c r="S99" s="5"/>
      <c r="T99" s="5"/>
      <c r="U99" s="5"/>
    </row>
    <row r="100" spans="1:23" s="26" customFormat="1" ht="61.2" customHeight="1" thickBot="1" x14ac:dyDescent="0.35">
      <c r="A100" s="73">
        <f t="shared" si="1"/>
        <v>67</v>
      </c>
      <c r="B100" s="77" t="s">
        <v>306</v>
      </c>
      <c r="C100" s="77" t="s">
        <v>37</v>
      </c>
      <c r="D100" s="313" t="s">
        <v>161</v>
      </c>
      <c r="E100" s="254"/>
      <c r="F100" s="263"/>
      <c r="G100" s="263"/>
      <c r="H100" s="247">
        <f>+H86+H91+H98+H96</f>
        <v>1414970.5200000009</v>
      </c>
      <c r="I100" s="301" t="s">
        <v>160</v>
      </c>
      <c r="J100" s="350" t="s">
        <v>555</v>
      </c>
      <c r="K100" s="351"/>
      <c r="L100" s="75" t="s">
        <v>404</v>
      </c>
      <c r="M100" s="202" t="s">
        <v>167</v>
      </c>
      <c r="N100" s="259" t="s">
        <v>315</v>
      </c>
      <c r="O100" s="19"/>
      <c r="P100" s="5"/>
      <c r="Q100" s="5"/>
      <c r="R100" s="5"/>
      <c r="S100" s="5"/>
      <c r="T100" s="5"/>
      <c r="U100" s="5"/>
    </row>
    <row r="101" spans="1:23" s="26" customFormat="1" ht="44.25" customHeight="1" thickBot="1" x14ac:dyDescent="0.35">
      <c r="A101" s="73">
        <f t="shared" si="1"/>
        <v>68</v>
      </c>
      <c r="B101" s="73" t="s">
        <v>295</v>
      </c>
      <c r="C101" s="73" t="s">
        <v>37</v>
      </c>
      <c r="D101" s="308" t="s">
        <v>163</v>
      </c>
      <c r="E101" s="254"/>
      <c r="F101" s="263"/>
      <c r="G101" s="263"/>
      <c r="H101" s="306">
        <f>IF(OR(E$60&lt;&gt;0,H$40&lt;&gt;0),IF(PDMO&gt;=HB247_Effective_Date,MAX(H47+H56+H83,0),MAX(H$59,0)),0)</f>
        <v>0</v>
      </c>
      <c r="I101" s="309" t="s">
        <v>164</v>
      </c>
      <c r="J101" s="352" t="s">
        <v>546</v>
      </c>
      <c r="K101" s="353"/>
      <c r="L101" s="102" t="s">
        <v>398</v>
      </c>
      <c r="M101" s="202" t="s">
        <v>417</v>
      </c>
      <c r="N101" s="259" t="s">
        <v>346</v>
      </c>
      <c r="O101" s="19"/>
      <c r="P101" s="5"/>
      <c r="Q101" s="5"/>
      <c r="R101" s="5"/>
      <c r="S101" s="5"/>
      <c r="T101" s="5"/>
      <c r="U101" s="5"/>
    </row>
    <row r="102" spans="1:23" s="26" customFormat="1" ht="33.75" customHeight="1" thickBot="1" x14ac:dyDescent="0.35">
      <c r="A102" s="73">
        <f t="shared" si="1"/>
        <v>69</v>
      </c>
      <c r="B102" s="73" t="s">
        <v>295</v>
      </c>
      <c r="C102" s="73" t="s">
        <v>37</v>
      </c>
      <c r="D102" s="243" t="s">
        <v>165</v>
      </c>
      <c r="E102" s="254"/>
      <c r="F102" s="263"/>
      <c r="G102" s="263"/>
      <c r="H102" s="76">
        <f>ROUND(IF(PDMO&lt;ACES_Effective_Date,Before_ACES_Loss_Carry_Forward_Cr_Rate,IF(PDMO&lt;MAPA_effective_date,After_ACES_Loss_Carry_Forward_Cr_Rate,After_MAPA_Loss_Carry_Forward_Cr._Rate))*(H101),2)</f>
        <v>0</v>
      </c>
      <c r="I102" s="128" t="s">
        <v>166</v>
      </c>
      <c r="J102" s="342" t="s">
        <v>473</v>
      </c>
      <c r="K102" s="343"/>
      <c r="L102" s="94" t="s">
        <v>398</v>
      </c>
      <c r="O102" s="19"/>
      <c r="P102" s="5"/>
      <c r="Q102" s="5"/>
      <c r="R102" s="5"/>
      <c r="S102" s="5"/>
      <c r="T102" s="5"/>
      <c r="U102" s="5"/>
    </row>
    <row r="103" spans="1:23" s="26" customFormat="1" ht="32.25" customHeight="1" thickBot="1" x14ac:dyDescent="0.35">
      <c r="A103" s="73">
        <f t="shared" si="1"/>
        <v>70</v>
      </c>
      <c r="B103" s="77" t="s">
        <v>296</v>
      </c>
      <c r="C103" s="77" t="s">
        <v>37</v>
      </c>
      <c r="D103" s="73" t="s">
        <v>168</v>
      </c>
      <c r="E103" s="254"/>
      <c r="F103" s="263"/>
      <c r="G103" s="263"/>
      <c r="H103" s="76">
        <f>H65+H68</f>
        <v>0</v>
      </c>
      <c r="I103" s="130" t="s">
        <v>169</v>
      </c>
      <c r="J103" s="342" t="s">
        <v>170</v>
      </c>
      <c r="K103" s="343"/>
      <c r="L103" s="123" t="s">
        <v>171</v>
      </c>
      <c r="M103" s="202" t="s">
        <v>419</v>
      </c>
      <c r="N103" s="259" t="s">
        <v>310</v>
      </c>
      <c r="O103" s="19"/>
      <c r="P103" s="5"/>
      <c r="Q103" s="5"/>
      <c r="R103" s="5"/>
      <c r="S103" s="5"/>
      <c r="T103" s="5"/>
      <c r="U103" s="5"/>
    </row>
    <row r="104" spans="1:23" s="26" customFormat="1" ht="13.8" thickBot="1" x14ac:dyDescent="0.3">
      <c r="G104" s="251"/>
      <c r="K104"/>
      <c r="L104"/>
      <c r="M104"/>
      <c r="N104"/>
      <c r="O104" s="19"/>
      <c r="P104" s="5"/>
      <c r="Q104" s="5"/>
      <c r="R104" s="5"/>
      <c r="S104" s="5"/>
      <c r="T104" s="5"/>
      <c r="U104" s="5"/>
    </row>
    <row r="105" spans="1:23" s="26" customFormat="1" ht="15.9" customHeight="1" x14ac:dyDescent="0.3">
      <c r="A105" s="316" t="s">
        <v>230</v>
      </c>
      <c r="B105" s="317"/>
      <c r="C105" s="317"/>
      <c r="D105" s="317"/>
      <c r="E105" s="317"/>
      <c r="F105" s="318"/>
      <c r="G105" s="264"/>
      <c r="H105" s="5"/>
      <c r="I105" s="5"/>
      <c r="J105" s="5"/>
      <c r="K105"/>
      <c r="L105"/>
      <c r="M105"/>
      <c r="N105"/>
      <c r="O105" s="19"/>
      <c r="P105" s="5"/>
      <c r="Q105" s="5"/>
      <c r="R105" s="5"/>
      <c r="S105" s="5"/>
      <c r="T105" s="5"/>
      <c r="U105" s="5"/>
    </row>
    <row r="106" spans="1:23" s="26" customFormat="1" ht="15.9" customHeight="1" x14ac:dyDescent="0.3">
      <c r="A106" s="322" t="s">
        <v>409</v>
      </c>
      <c r="B106" s="323"/>
      <c r="C106" s="323"/>
      <c r="D106" s="323"/>
      <c r="E106" s="323"/>
      <c r="F106" s="324"/>
      <c r="G106" s="260"/>
      <c r="H106" s="5"/>
      <c r="I106" s="5"/>
      <c r="J106" s="5"/>
      <c r="K106"/>
      <c r="L106"/>
      <c r="M106"/>
      <c r="N106"/>
      <c r="O106" s="19"/>
      <c r="P106" s="5"/>
      <c r="Q106" s="5"/>
      <c r="R106" s="5"/>
      <c r="S106" s="5"/>
      <c r="T106" s="5"/>
      <c r="U106" s="5"/>
    </row>
    <row r="107" spans="1:23" s="26" customFormat="1" ht="15.9" customHeight="1" x14ac:dyDescent="0.3">
      <c r="A107" s="325" t="s">
        <v>518</v>
      </c>
      <c r="B107" s="326"/>
      <c r="C107" s="326"/>
      <c r="D107" s="326"/>
      <c r="E107" s="326"/>
      <c r="F107" s="327"/>
      <c r="G107" s="260"/>
      <c r="H107" s="5"/>
      <c r="I107" s="5"/>
      <c r="J107" s="5"/>
      <c r="K107"/>
      <c r="L107"/>
      <c r="M107"/>
      <c r="N107"/>
      <c r="O107" s="24"/>
      <c r="P107" s="24"/>
      <c r="Q107" s="24"/>
      <c r="R107" s="5"/>
      <c r="S107" s="5"/>
      <c r="T107" s="5"/>
      <c r="U107" s="5"/>
      <c r="V107" s="5"/>
      <c r="W107" s="5"/>
    </row>
    <row r="108" spans="1:23" ht="15.9" customHeight="1" x14ac:dyDescent="0.3">
      <c r="A108" s="328" t="s">
        <v>557</v>
      </c>
      <c r="B108" s="329"/>
      <c r="C108" s="329"/>
      <c r="D108" s="329"/>
      <c r="E108" s="329"/>
      <c r="F108" s="330"/>
      <c r="G108" s="260"/>
      <c r="O108" s="24"/>
      <c r="P108" s="24"/>
      <c r="Q108" s="24"/>
    </row>
    <row r="109" spans="1:23" ht="15.9" customHeight="1" x14ac:dyDescent="0.3">
      <c r="A109" s="331" t="s">
        <v>517</v>
      </c>
      <c r="B109" s="332"/>
      <c r="C109" s="332"/>
      <c r="D109" s="332"/>
      <c r="E109" s="332"/>
      <c r="F109" s="333"/>
      <c r="G109" s="260"/>
      <c r="O109" s="24"/>
      <c r="P109" s="18"/>
      <c r="Q109" s="18"/>
    </row>
    <row r="110" spans="1:23" ht="15.9" customHeight="1" x14ac:dyDescent="0.3">
      <c r="A110" s="334" t="s">
        <v>527</v>
      </c>
      <c r="B110" s="335"/>
      <c r="C110" s="335"/>
      <c r="D110" s="335"/>
      <c r="E110" s="335"/>
      <c r="F110" s="336"/>
      <c r="G110" s="260"/>
      <c r="O110" s="24"/>
      <c r="P110" s="24"/>
      <c r="Q110" s="24"/>
    </row>
    <row r="111" spans="1:23" ht="15.9" customHeight="1" x14ac:dyDescent="0.3">
      <c r="A111" s="337" t="s">
        <v>552</v>
      </c>
      <c r="B111" s="338"/>
      <c r="C111" s="338"/>
      <c r="D111" s="338"/>
      <c r="E111" s="338"/>
      <c r="F111" s="339"/>
      <c r="G111" s="260"/>
      <c r="O111" s="24"/>
      <c r="P111" s="24"/>
      <c r="Q111" s="24"/>
    </row>
    <row r="112" spans="1:23" ht="27" customHeight="1" thickBot="1" x14ac:dyDescent="0.3">
      <c r="A112" s="319" t="s">
        <v>551</v>
      </c>
      <c r="B112" s="320"/>
      <c r="C112" s="320"/>
      <c r="D112" s="320"/>
      <c r="E112" s="320"/>
      <c r="F112" s="321"/>
      <c r="G112" s="265"/>
      <c r="O112" s="24"/>
      <c r="P112" s="24"/>
      <c r="Q112" s="24"/>
    </row>
    <row r="113" spans="1:17" x14ac:dyDescent="0.25">
      <c r="A113"/>
      <c r="B113"/>
      <c r="C113"/>
      <c r="D113"/>
      <c r="E113"/>
      <c r="F113" s="266"/>
      <c r="G113" s="61"/>
      <c r="H113"/>
      <c r="I113"/>
      <c r="O113" s="24"/>
      <c r="P113" s="24"/>
      <c r="Q113" s="24"/>
    </row>
    <row r="114" spans="1:17" x14ac:dyDescent="0.25">
      <c r="A114"/>
      <c r="B114"/>
      <c r="C114"/>
      <c r="D114"/>
      <c r="E114"/>
      <c r="F114" s="266"/>
      <c r="G114" s="61"/>
      <c r="H114"/>
      <c r="I114"/>
      <c r="O114" s="24"/>
      <c r="P114" s="24"/>
      <c r="Q114" s="24"/>
    </row>
    <row r="115" spans="1:17" x14ac:dyDescent="0.25">
      <c r="O115" s="24"/>
      <c r="P115" s="24"/>
      <c r="Q115" s="24"/>
    </row>
    <row r="116" spans="1:17" x14ac:dyDescent="0.25">
      <c r="O116" s="24"/>
      <c r="P116" s="24"/>
      <c r="Q116" s="24"/>
    </row>
    <row r="117" spans="1:17" x14ac:dyDescent="0.25">
      <c r="O117" s="24"/>
      <c r="P117" s="24"/>
      <c r="Q117" s="24"/>
    </row>
    <row r="118" spans="1:17" x14ac:dyDescent="0.25">
      <c r="O118" s="24"/>
      <c r="P118" s="24"/>
      <c r="Q118" s="24"/>
    </row>
    <row r="119" spans="1:17" x14ac:dyDescent="0.25">
      <c r="O119" s="24"/>
      <c r="P119" s="24"/>
      <c r="Q119" s="24"/>
    </row>
    <row r="120" spans="1:17" x14ac:dyDescent="0.25">
      <c r="O120" s="24"/>
      <c r="P120" s="24"/>
      <c r="Q120" s="24"/>
    </row>
    <row r="121" spans="1:17" x14ac:dyDescent="0.25">
      <c r="O121" s="24"/>
      <c r="P121" s="24"/>
      <c r="Q121" s="24"/>
    </row>
    <row r="122" spans="1:17" x14ac:dyDescent="0.25">
      <c r="O122" s="24"/>
      <c r="P122" s="24"/>
      <c r="Q122" s="24"/>
    </row>
    <row r="123" spans="1:17" x14ac:dyDescent="0.25">
      <c r="O123" s="24"/>
      <c r="P123" s="24"/>
      <c r="Q123" s="24"/>
    </row>
    <row r="124" spans="1:17" x14ac:dyDescent="0.25">
      <c r="O124" s="24"/>
      <c r="P124" s="24"/>
      <c r="Q124" s="24"/>
    </row>
    <row r="125" spans="1:17" x14ac:dyDescent="0.25">
      <c r="O125" s="24"/>
      <c r="P125" s="24"/>
      <c r="Q125" s="24"/>
    </row>
    <row r="126" spans="1:17" x14ac:dyDescent="0.25">
      <c r="O126" s="24"/>
      <c r="P126" s="24"/>
      <c r="Q126" s="24"/>
    </row>
    <row r="127" spans="1:17" x14ac:dyDescent="0.25">
      <c r="O127" s="17"/>
      <c r="P127" s="18"/>
      <c r="Q127" s="18"/>
    </row>
    <row r="128" spans="1:17" x14ac:dyDescent="0.25">
      <c r="O128" s="24"/>
      <c r="P128" s="24"/>
      <c r="Q128" s="24"/>
    </row>
    <row r="129" spans="15:17" x14ac:dyDescent="0.25">
      <c r="O129" s="24"/>
      <c r="P129" s="24"/>
      <c r="Q129" s="24"/>
    </row>
    <row r="130" spans="15:17" x14ac:dyDescent="0.25">
      <c r="O130" s="24"/>
      <c r="P130" s="24"/>
      <c r="Q130" s="24"/>
    </row>
    <row r="131" spans="15:17" x14ac:dyDescent="0.25">
      <c r="O131" s="24"/>
      <c r="P131" s="24"/>
      <c r="Q131" s="24"/>
    </row>
    <row r="132" spans="15:17" x14ac:dyDescent="0.25">
      <c r="O132" s="24"/>
      <c r="P132" s="24"/>
      <c r="Q132" s="24"/>
    </row>
    <row r="133" spans="15:17" x14ac:dyDescent="0.25">
      <c r="O133" s="24"/>
      <c r="P133" s="24"/>
      <c r="Q133" s="24"/>
    </row>
    <row r="134" spans="15:17" x14ac:dyDescent="0.25">
      <c r="O134" s="24"/>
      <c r="P134" s="24"/>
      <c r="Q134" s="24"/>
    </row>
    <row r="135" spans="15:17" x14ac:dyDescent="0.25">
      <c r="O135" s="24"/>
      <c r="P135" s="24"/>
      <c r="Q135" s="24"/>
    </row>
  </sheetData>
  <mergeCells count="89">
    <mergeCell ref="N60:N61"/>
    <mergeCell ref="J84:K84"/>
    <mergeCell ref="J87:K87"/>
    <mergeCell ref="J86:K86"/>
    <mergeCell ref="J59:K59"/>
    <mergeCell ref="J63:K63"/>
    <mergeCell ref="J67:K67"/>
    <mergeCell ref="J68:K68"/>
    <mergeCell ref="J74:K74"/>
    <mergeCell ref="J75:K75"/>
    <mergeCell ref="J76:K76"/>
    <mergeCell ref="J77:K77"/>
    <mergeCell ref="J78:K78"/>
    <mergeCell ref="J79:K79"/>
    <mergeCell ref="J81:K81"/>
    <mergeCell ref="M60:M61"/>
    <mergeCell ref="N82:N83"/>
    <mergeCell ref="M82:M83"/>
    <mergeCell ref="L84:L85"/>
    <mergeCell ref="J70:K70"/>
    <mergeCell ref="J71:K71"/>
    <mergeCell ref="J72:K72"/>
    <mergeCell ref="J73:K73"/>
    <mergeCell ref="J82:K82"/>
    <mergeCell ref="L10:L12"/>
    <mergeCell ref="L7:L9"/>
    <mergeCell ref="L23:L24"/>
    <mergeCell ref="J80:K80"/>
    <mergeCell ref="J35:K35"/>
    <mergeCell ref="J33:K33"/>
    <mergeCell ref="J36:K36"/>
    <mergeCell ref="J47:K47"/>
    <mergeCell ref="J34:K34"/>
    <mergeCell ref="L17:L18"/>
    <mergeCell ref="L19:L20"/>
    <mergeCell ref="J37:K37"/>
    <mergeCell ref="J39:K39"/>
    <mergeCell ref="J40:K40"/>
    <mergeCell ref="J41:K41"/>
    <mergeCell ref="J42:K42"/>
    <mergeCell ref="J43:K43"/>
    <mergeCell ref="J44:K44"/>
    <mergeCell ref="J45:K45"/>
    <mergeCell ref="J46:K46"/>
    <mergeCell ref="J48:K48"/>
    <mergeCell ref="J49:K49"/>
    <mergeCell ref="J50:K50"/>
    <mergeCell ref="J51:K51"/>
    <mergeCell ref="J52:K52"/>
    <mergeCell ref="J53:K53"/>
    <mergeCell ref="J91:K91"/>
    <mergeCell ref="J90:K90"/>
    <mergeCell ref="J89:K89"/>
    <mergeCell ref="J54:K54"/>
    <mergeCell ref="J55:K55"/>
    <mergeCell ref="J56:K56"/>
    <mergeCell ref="J57:K57"/>
    <mergeCell ref="J58:K58"/>
    <mergeCell ref="J64:K64"/>
    <mergeCell ref="J65:K65"/>
    <mergeCell ref="J66:K66"/>
    <mergeCell ref="J69:K69"/>
    <mergeCell ref="J60:K60"/>
    <mergeCell ref="J61:K61"/>
    <mergeCell ref="J62:K62"/>
    <mergeCell ref="J38:K38"/>
    <mergeCell ref="J103:K103"/>
    <mergeCell ref="J92:K92"/>
    <mergeCell ref="J94:K94"/>
    <mergeCell ref="J95:K95"/>
    <mergeCell ref="J96:K96"/>
    <mergeCell ref="J97:K97"/>
    <mergeCell ref="J93:K93"/>
    <mergeCell ref="J98:K98"/>
    <mergeCell ref="J100:K100"/>
    <mergeCell ref="J101:K101"/>
    <mergeCell ref="J102:K102"/>
    <mergeCell ref="J99:K99"/>
    <mergeCell ref="J83:K83"/>
    <mergeCell ref="J85:K85"/>
    <mergeCell ref="J88:K88"/>
    <mergeCell ref="A105:F105"/>
    <mergeCell ref="A112:F112"/>
    <mergeCell ref="A106:F106"/>
    <mergeCell ref="A107:F107"/>
    <mergeCell ref="A108:F108"/>
    <mergeCell ref="A109:F109"/>
    <mergeCell ref="A110:F110"/>
    <mergeCell ref="A111:F111"/>
  </mergeCells>
  <dataValidations disablePrompts="1" xWindow="558" yWindow="493" count="1">
    <dataValidation type="date" operator="greaterThan" showInputMessage="1" showErrorMessage="1" errorTitle="WRONG DATE FORMAT" error="This isn't entered correctly. Please enter this date in MM/DD/YYYY format. Enter only numbers with no other characters." promptTitle="PRODUCTION MONTH" prompt="Please enter date in this format, MM/DD/YYYY, with no other characters. Always use the 1st day of the month." sqref="F14">
      <formula1>18264</formula1>
    </dataValidation>
  </dataValidations>
  <printOptions horizontalCentered="1" verticalCentered="1"/>
  <pageMargins left="0" right="0" top="0.25" bottom="0.25" header="0.1" footer="0"/>
  <pageSetup scale="49" fitToHeight="2" orientation="landscape" r:id="rId1"/>
  <headerFooter differentFirst="1">
    <oddFooter>&amp;R&amp;"Arial,Bold"&amp;6Filename: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F7B72-C718-4731-8B9F-CF1A3EC6783E}">
  <ds:schemaRefs>
    <ds:schemaRef ds:uri="http://schemas.microsoft.com/office/2006/metadata/properties"/>
    <ds:schemaRef ds:uri="http://purl.org/dc/term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CC78BC33-D237-4A83-8FF2-90A06A9B64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481F044-B20A-44D1-B13D-AB0FFF3EAF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36</vt:i4>
      </vt:variant>
    </vt:vector>
  </HeadingPairs>
  <TitlesOfParts>
    <vt:vector size="41" baseType="lpstr">
      <vt:lpstr>READ ME FIRST</vt:lpstr>
      <vt:lpstr> VV-Example ABC</vt:lpstr>
      <vt:lpstr> VV-Example DEF</vt:lpstr>
      <vt:lpstr>AC-Example</vt:lpstr>
      <vt:lpstr>PT-Example </vt:lpstr>
      <vt:lpstr>ACES_Effective_Date</vt:lpstr>
      <vt:lpstr>Adjustment_Factor_2007</vt:lpstr>
      <vt:lpstr>Adjustment_Factor_2008</vt:lpstr>
      <vt:lpstr>Adjustment_Factor_2009</vt:lpstr>
      <vt:lpstr>After_ACES_Loss_Carry_Forward_Cr_Rate</vt:lpstr>
      <vt:lpstr>After_ACES_Section_e__Tax_Rate</vt:lpstr>
      <vt:lpstr>After_MAPA_Loss_Carry_Forward_Cr._Rate</vt:lpstr>
      <vt:lpstr>After_MAPA_Section_e__Tax_Rate</vt:lpstr>
      <vt:lpstr>Before_ACES_Loss_Carry_Forward_Cr_Rate</vt:lpstr>
      <vt:lpstr>Before_ACES_Section_e__Tax_Rate</vt:lpstr>
      <vt:lpstr>Capital_Exclusion_Cents_Per_BOE</vt:lpstr>
      <vt:lpstr>DBGVR</vt:lpstr>
      <vt:lpstr>End_date_for_cap</vt:lpstr>
      <vt:lpstr>GVRR</vt:lpstr>
      <vt:lpstr>HB247_Effective_Date</vt:lpstr>
      <vt:lpstr>MAPA_effective_date</vt:lpstr>
      <vt:lpstr>Max_Price_Index_Based_Rate_After_Aces</vt:lpstr>
      <vt:lpstr>Max_Price_Index_Based_Rate_Before_Aces</vt:lpstr>
      <vt:lpstr>Overhead_For_Capex</vt:lpstr>
      <vt:lpstr>Overhead_For_Opex</vt:lpstr>
      <vt:lpstr>PDMO</vt:lpstr>
      <vt:lpstr>' VV-Example ABC'!Print_Area</vt:lpstr>
      <vt:lpstr>' VV-Example DEF'!Print_Area</vt:lpstr>
      <vt:lpstr>'AC-Example'!Print_Area</vt:lpstr>
      <vt:lpstr>'PT-Example '!Print_Area</vt:lpstr>
      <vt:lpstr>'PT-Example '!Print_Titles</vt:lpstr>
      <vt:lpstr>Progressive_Increment__1_After_Aces</vt:lpstr>
      <vt:lpstr>Progressive_Increment__1_Before_Aces</vt:lpstr>
      <vt:lpstr>Progressive_Increment__2_After_Aces</vt:lpstr>
      <vt:lpstr>Qualified_Capex_Credit_Rate</vt:lpstr>
      <vt:lpstr>Start_date_for_2nd_year_of_adjustment_2008</vt:lpstr>
      <vt:lpstr>Start_date_for_3nd_year_of_adjustment_2009</vt:lpstr>
      <vt:lpstr>Start_date_for_adjustment_2007</vt:lpstr>
      <vt:lpstr>Threshold__1_Price_After_Aces</vt:lpstr>
      <vt:lpstr>Threshold__1_Price_Before_Aces</vt:lpstr>
      <vt:lpstr>Threshold__2_Price_After_Aces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dc:creator>
  <cp:lastModifiedBy>Hunt, Diane L (DNR)</cp:lastModifiedBy>
  <cp:lastPrinted>2017-02-27T23:15:45Z</cp:lastPrinted>
  <dcterms:created xsi:type="dcterms:W3CDTF">2004-09-30T20:23:44Z</dcterms:created>
  <dcterms:modified xsi:type="dcterms:W3CDTF">2017-03-23T23:37:31Z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LP_Owner}">
    <vt:lpwstr>cssadmin</vt:lpwstr>
  </property>
  <property fmtid="{D5CDD505-2E9C-101B-9397-08002B2CF9AE}" pid="4" name="{DLP_CreatedBy}">
    <vt:lpwstr>jtkatsoris</vt:lpwstr>
  </property>
  <property fmtid="{D5CDD505-2E9C-101B-9397-08002B2CF9AE}" pid="5" name="{DLP_CreatedOn}">
    <vt:lpwstr>11/08/2018 11:35:41 AM</vt:lpwstr>
  </property>
  <property fmtid="{D5CDD505-2E9C-101B-9397-08002B2CF9AE}" pid="6" name="{DLP_Description}">
    <vt:lpwstr/>
  </property>
  <property fmtid="{D5CDD505-2E9C-101B-9397-08002B2CF9AE}" pid="7" name="{DLP_VersionNotes}">
    <vt:lpwstr/>
  </property>
  <property fmtid="{D5CDD505-2E9C-101B-9397-08002B2CF9AE}" pid="8" name="{DLP_VersionID}">
    <vt:lpwstr>1</vt:lpwstr>
  </property>
  <property fmtid="{D5CDD505-2E9C-101B-9397-08002B2CF9AE}" pid="9" name="{DLP_MinorID}">
    <vt:lpwstr>0</vt:lpwstr>
  </property>
  <property fmtid="{D5CDD505-2E9C-101B-9397-08002B2CF9AE}" pid="10" name="{DLP_Path}">
    <vt:lpwstr>DOG_Dev\Documents\PublicWebsite\Document Library\Commercial\</vt:lpwstr>
  </property>
  <property fmtid="{D5CDD505-2E9C-101B-9397-08002B2CF9AE}" pid="11" name="{DLP_ParentFolder}">
    <vt:lpwstr>C8DDBB6D-A5DD-474F-9FFA-3119DA55A8C5</vt:lpwstr>
  </property>
  <property fmtid="{D5CDD505-2E9C-101B-9397-08002B2CF9AE}" pid="12" name="{DLP_ObjectID}">
    <vt:lpwstr>5FFBA161EE8B45239FE6B95564F06E9C</vt:lpwstr>
  </property>
  <property fmtid="{D5CDD505-2E9C-101B-9397-08002B2CF9AE}" pid="13" name="{DLP_FileName}">
    <vt:lpwstr>2017-03-22__NPSL Report Templates.xlsx</vt:lpwstr>
  </property>
  <property fmtid="{D5CDD505-2E9C-101B-9397-08002B2CF9AE}" pid="14" name="{DLP_Extension}">
    <vt:lpwstr>.xlsx</vt:lpwstr>
  </property>
  <property fmtid="{D5CDD505-2E9C-101B-9397-08002B2CF9AE}" pid="15" name="{DLP_Profile}">
    <vt:lpwstr>Public Website</vt:lpwstr>
  </property>
  <property fmtid="{D5CDD505-2E9C-101B-9397-08002B2CF9AE}" pid="16" name="{DLPP_Document Date}">
    <vt:lpwstr>03/22/2017</vt:lpwstr>
  </property>
  <property fmtid="{D5CDD505-2E9C-101B-9397-08002B2CF9AE}" pid="17" name="{DLPP_DOG Section}">
    <vt:lpwstr>Commercial</vt:lpwstr>
  </property>
  <property fmtid="{D5CDD505-2E9C-101B-9397-08002B2CF9AE}" pid="18" name="{DLPP_Website Title}">
    <vt:lpwstr>NPSL Report Templates</vt:lpwstr>
  </property>
  <property fmtid="{D5CDD505-2E9C-101B-9397-08002B2CF9AE}" pid="19" name="{DLPP_Website Pages}">
    <vt:lpwstr>Document Library</vt:lpwstr>
  </property>
  <property fmtid="{D5CDD505-2E9C-101B-9397-08002B2CF9AE}" pid="20" name="{DLPP_Profile Document Type}">
    <vt:lpwstr/>
  </property>
  <property fmtid="{D5CDD505-2E9C-101B-9397-08002B2CF9AE}" pid="21" name="{DLPP_Website Profile Process}">
    <vt:lpwstr/>
  </property>
  <property fmtid="{D5CDD505-2E9C-101B-9397-08002B2CF9AE}" pid="22" name="{DLPP_Region Name DOGByte}">
    <vt:lpwstr/>
  </property>
  <property fmtid="{D5CDD505-2E9C-101B-9397-08002B2CF9AE}" pid="23" name="{DLPP_Unit DOGByte}">
    <vt:lpwstr/>
  </property>
  <property fmtid="{D5CDD505-2E9C-101B-9397-08002B2CF9AE}" pid="24" name="{DLPP_ADL Number}">
    <vt:lpwstr/>
  </property>
  <property fmtid="{D5CDD505-2E9C-101B-9397-08002B2CF9AE}" pid="25" name="{DLPP_Pipeline}">
    <vt:lpwstr/>
  </property>
</Properties>
</file>